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re\Documents\Orientering\Økonomi\"/>
    </mc:Choice>
  </mc:AlternateContent>
  <xr:revisionPtr revIDLastSave="0" documentId="13_ncr:1_{ABFB1DB0-8CAD-4BA2-A974-3EDB95479EE4}" xr6:coauthVersionLast="45" xr6:coauthVersionMax="45" xr10:uidLastSave="{00000000-0000-0000-0000-000000000000}"/>
  <bookViews>
    <workbookView xWindow="2070" yWindow="1370" windowWidth="14520" windowHeight="8910" firstSheet="3" activeTab="3" xr2:uid="{00000000-000D-0000-FFFF-FFFF00000000}"/>
  </bookViews>
  <sheets>
    <sheet name="Resultatrapport" sheetId="1" r:id="rId1"/>
    <sheet name="OSR_Resultatrapport_1UEKYZN" sheetId="2" state="hidden" r:id="rId2"/>
    <sheet name="OSR_Resultatr...7971fa5d_S12XER" sheetId="3" state="hidden" r:id="rId3"/>
    <sheet name="Resultatrapport per avdeling" sheetId="4" r:id="rId4"/>
    <sheet name="OSR_Resultatr...avdeling_YL5G00" sheetId="5" state="hidden" r:id="rId5"/>
    <sheet name="OSR_Resultatr...74938528_CCHFC5" sheetId="6" state="hidden" r:id="rId6"/>
  </sheets>
  <definedNames>
    <definedName name="OSR_GearWriter_0" localSheetId="0">Resultatrapport!$G$2:$H$2</definedName>
    <definedName name="OSR_GearWriter_0" localSheetId="3">'Resultatrapport per avdeling'!$B$4:$B$5</definedName>
    <definedName name="OSR_GearWriter_1" localSheetId="0">Resultatrapport!$B$4:$B$5</definedName>
    <definedName name="OSR_GearWriter_2" localSheetId="0">Resultatrapport!$C$4:$D$4</definedName>
    <definedName name="OSR_GearWriter_3" localSheetId="0">Resultatrapport!$F$4:$G$4</definedName>
    <definedName name="OSR_GearWriter_4" localSheetId="0">Resultatrapport!$C$103:$D$103</definedName>
    <definedName name="OSR_GearWriter_5" localSheetId="0">Resultatrapport!$F$103:$H$103</definedName>
    <definedName name="OSR_GearWriter_6" localSheetId="0">Resultatrapport!$Z$110:$AL$110</definedName>
    <definedName name="OSR_GearWriter_7" localSheetId="0">Resultatrapport!$AN$110:$AY$110</definedName>
    <definedName name="OSR_TMP_0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0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0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0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0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0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0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0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0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0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0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0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1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1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1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1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1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1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2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2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2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2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2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2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3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3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3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3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3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3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4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4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4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4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4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4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5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5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5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5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5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5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6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6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6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6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6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6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7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7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7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7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7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7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17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2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2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2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2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2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2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3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3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3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3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3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3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4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4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4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4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4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4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5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5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5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5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5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5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6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6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6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6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6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6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7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7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7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7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7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7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7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8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8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8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8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8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8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8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9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9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9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9" localSheetId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9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9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_TMP_9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OSRRefC11x_0" localSheetId="0">Resultatrapport!$C$20</definedName>
    <definedName name="OSRRefC11x_0" localSheetId="3">'Resultatrapport per avdeling'!#REF!</definedName>
    <definedName name="OSRRefC11x_1" localSheetId="3">'Resultatrapport per avdeling'!#REF!</definedName>
    <definedName name="OSRRefC11x_10" localSheetId="3">'Resultatrapport per avdeling'!#REF!</definedName>
    <definedName name="OSRRefC11x_11" localSheetId="3">'Resultatrapport per avdeling'!#REF!</definedName>
    <definedName name="OSRRefC11x_12" localSheetId="3">'Resultatrapport per avdeling'!#REF!</definedName>
    <definedName name="OSRRefC11x_13" localSheetId="3">'Resultatrapport per avdeling'!#REF!</definedName>
    <definedName name="OSRRefC11x_2" localSheetId="3">'Resultatrapport per avdeling'!#REF!</definedName>
    <definedName name="OSRRefC11x_3" localSheetId="3">'Resultatrapport per avdeling'!#REF!</definedName>
    <definedName name="OSRRefC11x_4" localSheetId="3">'Resultatrapport per avdeling'!#REF!</definedName>
    <definedName name="OSRRefC11x_5" localSheetId="3">'Resultatrapport per avdeling'!#REF!</definedName>
    <definedName name="OSRRefC11x_6" localSheetId="3">'Resultatrapport per avdeling'!#REF!</definedName>
    <definedName name="OSRRefC11x_7" localSheetId="3">'Resultatrapport per avdeling'!#REF!</definedName>
    <definedName name="OSRRefC11x_8" localSheetId="3">'Resultatrapport per avdeling'!#REF!</definedName>
    <definedName name="OSRRefC11x_9" localSheetId="3">'Resultatrapport per avdeling'!#REF!</definedName>
    <definedName name="OSRRefC13x_0" localSheetId="0">Resultatrapport!$C$22:$C$35</definedName>
    <definedName name="OSRRefC13x_0" localSheetId="3">'Resultatrapport per avdeling'!#REF!</definedName>
    <definedName name="OSRRefC13x_1" localSheetId="3">'Resultatrapport per avdeling'!#REF!</definedName>
    <definedName name="OSRRefC13x_10" localSheetId="3">'Resultatrapport per avdeling'!#REF!</definedName>
    <definedName name="OSRRefC13x_11" localSheetId="3">'Resultatrapport per avdeling'!#REF!</definedName>
    <definedName name="OSRRefC13x_12" localSheetId="3">'Resultatrapport per avdeling'!#REF!</definedName>
    <definedName name="OSRRefC13x_13" localSheetId="3">'Resultatrapport per avdeling'!#REF!</definedName>
    <definedName name="OSRRefC13x_2" localSheetId="3">'Resultatrapport per avdeling'!#REF!</definedName>
    <definedName name="OSRRefC13x_3" localSheetId="3">'Resultatrapport per avdeling'!#REF!</definedName>
    <definedName name="OSRRefC13x_4" localSheetId="3">'Resultatrapport per avdeling'!#REF!</definedName>
    <definedName name="OSRRefC13x_5" localSheetId="3">'Resultatrapport per avdeling'!#REF!</definedName>
    <definedName name="OSRRefC13x_6" localSheetId="3">'Resultatrapport per avdeling'!#REF!</definedName>
    <definedName name="OSRRefC13x_7" localSheetId="3">'Resultatrapport per avdeling'!#REF!</definedName>
    <definedName name="OSRRefC13x_8" localSheetId="3">'Resultatrapport per avdeling'!$C$16:$C$18</definedName>
    <definedName name="OSRRefC13x_9" localSheetId="3">'Resultatrapport per avdeling'!#REF!</definedName>
    <definedName name="OSRRefC17x_0" localSheetId="0">Resultatrapport!$C$39:$C$42</definedName>
    <definedName name="OSRRefC17x_0" localSheetId="3">'Resultatrapport per avdeling'!#REF!</definedName>
    <definedName name="OSRRefC17x_1" localSheetId="3">'Resultatrapport per avdeling'!#REF!</definedName>
    <definedName name="OSRRefC17x_10" localSheetId="3">'Resultatrapport per avdeling'!#REF!</definedName>
    <definedName name="OSRRefC17x_11" localSheetId="3">'Resultatrapport per avdeling'!#REF!</definedName>
    <definedName name="OSRRefC17x_12" localSheetId="3">'Resultatrapport per avdeling'!#REF!</definedName>
    <definedName name="OSRRefC17x_13" localSheetId="3">'Resultatrapport per avdeling'!#REF!</definedName>
    <definedName name="OSRRefC17x_2" localSheetId="3">'Resultatrapport per avdeling'!#REF!</definedName>
    <definedName name="OSRRefC17x_3" localSheetId="3">'Resultatrapport per avdeling'!#REF!</definedName>
    <definedName name="OSRRefC17x_4" localSheetId="3">'Resultatrapport per avdeling'!#REF!</definedName>
    <definedName name="OSRRefC17x_5" localSheetId="3">'Resultatrapport per avdeling'!#REF!</definedName>
    <definedName name="OSRRefC17x_6" localSheetId="3">'Resultatrapport per avdeling'!#REF!</definedName>
    <definedName name="OSRRefC17x_7" localSheetId="3">'Resultatrapport per avdeling'!#REF!</definedName>
    <definedName name="OSRRefC17x_8" localSheetId="3">'Resultatrapport per avdeling'!$C$22:$C$22</definedName>
    <definedName name="OSRRefC17x_9" localSheetId="3">'Resultatrapport per avdeling'!#REF!</definedName>
    <definedName name="OSRRefC19x_0" localSheetId="0">Resultatrapport!$C$44:$C$52</definedName>
    <definedName name="OSRRefC19x_0" localSheetId="3">'Resultatrapport per avdeling'!#REF!</definedName>
    <definedName name="OSRRefC19x_1" localSheetId="3">'Resultatrapport per avdeling'!#REF!</definedName>
    <definedName name="OSRRefC19x_10" localSheetId="3">'Resultatrapport per avdeling'!#REF!</definedName>
    <definedName name="OSRRefC19x_11" localSheetId="3">'Resultatrapport per avdeling'!#REF!</definedName>
    <definedName name="OSRRefC19x_12" localSheetId="3">'Resultatrapport per avdeling'!#REF!</definedName>
    <definedName name="OSRRefC19x_13" localSheetId="3">'Resultatrapport per avdeling'!#REF!</definedName>
    <definedName name="OSRRefC19x_2" localSheetId="3">'Resultatrapport per avdeling'!#REF!</definedName>
    <definedName name="OSRRefC19x_3" localSheetId="3">'Resultatrapport per avdeling'!#REF!</definedName>
    <definedName name="OSRRefC19x_4" localSheetId="3">'Resultatrapport per avdeling'!#REF!</definedName>
    <definedName name="OSRRefC19x_5" localSheetId="3">'Resultatrapport per avdeling'!#REF!</definedName>
    <definedName name="OSRRefC19x_6" localSheetId="3">'Resultatrapport per avdeling'!#REF!</definedName>
    <definedName name="OSRRefC19x_7" localSheetId="3">'Resultatrapport per avdeling'!#REF!</definedName>
    <definedName name="OSRRefC19x_8" localSheetId="3">'Resultatrapport per avdeling'!#REF!</definedName>
    <definedName name="OSRRefC19x_9" localSheetId="3">'Resultatrapport per avdeling'!#REF!</definedName>
    <definedName name="OSRRefC21x_0" localSheetId="0">Resultatrapport!$C$54:$C$55</definedName>
    <definedName name="OSRRefC23x_0" localSheetId="0">Resultatrapport!$C$57:$C$86</definedName>
    <definedName name="OSRRefC23x_0" localSheetId="3">'Resultatrapport per avdeling'!#REF!</definedName>
    <definedName name="OSRRefC23x_1" localSheetId="3">'Resultatrapport per avdeling'!#REF!</definedName>
    <definedName name="OSRRefC23x_10" localSheetId="3">'Resultatrapport per avdeling'!#REF!</definedName>
    <definedName name="OSRRefC23x_11" localSheetId="3">'Resultatrapport per avdeling'!#REF!</definedName>
    <definedName name="OSRRefC23x_12" localSheetId="3">'Resultatrapport per avdeling'!#REF!</definedName>
    <definedName name="OSRRefC23x_13" localSheetId="3">'Resultatrapport per avdeling'!#REF!</definedName>
    <definedName name="OSRRefC23x_2" localSheetId="3">'Resultatrapport per avdeling'!#REF!</definedName>
    <definedName name="OSRRefC23x_3" localSheetId="3">'Resultatrapport per avdeling'!#REF!</definedName>
    <definedName name="OSRRefC23x_4" localSheetId="3">'Resultatrapport per avdeling'!#REF!</definedName>
    <definedName name="OSRRefC23x_5" localSheetId="3">'Resultatrapport per avdeling'!#REF!</definedName>
    <definedName name="OSRRefC23x_6" localSheetId="3">'Resultatrapport per avdeling'!#REF!</definedName>
    <definedName name="OSRRefC23x_7" localSheetId="3">'Resultatrapport per avdeling'!#REF!</definedName>
    <definedName name="OSRRefC23x_8" localSheetId="3">'Resultatrapport per avdeling'!$C$26:$C$37</definedName>
    <definedName name="OSRRefC23x_9" localSheetId="3">'Resultatrapport per avdeling'!#REF!</definedName>
    <definedName name="OSRRefC29x_0" localSheetId="0">Resultatrapport!$C$92:$C$94</definedName>
    <definedName name="OSRRefC29x_0" localSheetId="3">'Resultatrapport per avdeling'!#REF!</definedName>
    <definedName name="OSRRefC29x_1" localSheetId="3">'Resultatrapport per avdeling'!#REF!</definedName>
    <definedName name="OSRRefC29x_10" localSheetId="3">'Resultatrapport per avdeling'!#REF!</definedName>
    <definedName name="OSRRefC29x_11" localSheetId="3">'Resultatrapport per avdeling'!#REF!</definedName>
    <definedName name="OSRRefC29x_12" localSheetId="3">'Resultatrapport per avdeling'!#REF!</definedName>
    <definedName name="OSRRefC29x_13" localSheetId="3">'Resultatrapport per avdeling'!#REF!</definedName>
    <definedName name="OSRRefC29x_2" localSheetId="3">'Resultatrapport per avdeling'!#REF!</definedName>
    <definedName name="OSRRefC29x_3" localSheetId="3">'Resultatrapport per avdeling'!#REF!</definedName>
    <definedName name="OSRRefC29x_4" localSheetId="3">'Resultatrapport per avdeling'!#REF!</definedName>
    <definedName name="OSRRefC29x_5" localSheetId="3">'Resultatrapport per avdeling'!#REF!</definedName>
    <definedName name="OSRRefC29x_6" localSheetId="3">'Resultatrapport per avdeling'!#REF!</definedName>
    <definedName name="OSRRefC29x_7" localSheetId="3">'Resultatrapport per avdeling'!#REF!</definedName>
    <definedName name="OSRRefC29x_8" localSheetId="3">'Resultatrapport per avdeling'!$C$43:$C$43</definedName>
    <definedName name="OSRRefC29x_9" localSheetId="3">'Resultatrapport per avdeling'!#REF!</definedName>
    <definedName name="OSRRefC31x_0" localSheetId="0">Resultatrapport!$C$96:$C$99</definedName>
    <definedName name="OSRRefC31x_0" localSheetId="3">'Resultatrapport per avdeling'!#REF!</definedName>
    <definedName name="OSRRefC31x_1" localSheetId="3">'Resultatrapport per avdeling'!#REF!</definedName>
    <definedName name="OSRRefC31x_10" localSheetId="3">'Resultatrapport per avdeling'!#REF!</definedName>
    <definedName name="OSRRefC31x_11" localSheetId="3">'Resultatrapport per avdeling'!#REF!</definedName>
    <definedName name="OSRRefC31x_12" localSheetId="3">'Resultatrapport per avdeling'!#REF!</definedName>
    <definedName name="OSRRefC31x_13" localSheetId="3">'Resultatrapport per avdeling'!#REF!</definedName>
    <definedName name="OSRRefC31x_2" localSheetId="3">'Resultatrapport per avdeling'!#REF!</definedName>
    <definedName name="OSRRefC31x_3" localSheetId="3">'Resultatrapport per avdeling'!#REF!</definedName>
    <definedName name="OSRRefC31x_4" localSheetId="3">'Resultatrapport per avdeling'!#REF!</definedName>
    <definedName name="OSRRefC31x_5" localSheetId="3">'Resultatrapport per avdeling'!#REF!</definedName>
    <definedName name="OSRRefC31x_6" localSheetId="3">'Resultatrapport per avdeling'!#REF!</definedName>
    <definedName name="OSRRefC31x_7" localSheetId="3">'Resultatrapport per avdeling'!#REF!</definedName>
    <definedName name="OSRRefC31x_8" localSheetId="3">'Resultatrapport per avdeling'!#REF!</definedName>
    <definedName name="OSRRefC31x_9" localSheetId="3">'Resultatrapport per avdeling'!#REF!</definedName>
    <definedName name="OSRRefC7x_0" localSheetId="0">Resultatrapport!$C$7:$C$13</definedName>
    <definedName name="OSRRefC7x_0" localSheetId="3">'Resultatrapport per avdeling'!#REF!</definedName>
    <definedName name="OSRRefC7x_1" localSheetId="3">'Resultatrapport per avdeling'!#REF!</definedName>
    <definedName name="OSRRefC7x_10" localSheetId="3">'Resultatrapport per avdeling'!#REF!</definedName>
    <definedName name="OSRRefC7x_11" localSheetId="3">'Resultatrapport per avdeling'!#REF!</definedName>
    <definedName name="OSRRefC7x_12" localSheetId="3">'Resultatrapport per avdeling'!#REF!</definedName>
    <definedName name="OSRRefC7x_13" localSheetId="3">'Resultatrapport per avdeling'!#REF!</definedName>
    <definedName name="OSRRefC7x_2" localSheetId="3">'Resultatrapport per avdeling'!#REF!</definedName>
    <definedName name="OSRRefC7x_3" localSheetId="3">'Resultatrapport per avdeling'!#REF!</definedName>
    <definedName name="OSRRefC7x_4" localSheetId="3">'Resultatrapport per avdeling'!#REF!</definedName>
    <definedName name="OSRRefC7x_5" localSheetId="3">'Resultatrapport per avdeling'!#REF!</definedName>
    <definedName name="OSRRefC7x_6" localSheetId="3">'Resultatrapport per avdeling'!#REF!</definedName>
    <definedName name="OSRRefC7x_7" localSheetId="3">'Resultatrapport per avdeling'!#REF!</definedName>
    <definedName name="OSRRefC7x_8" localSheetId="3">'Resultatrapport per avdeling'!$C$7:$C$9</definedName>
    <definedName name="OSRRefC7x_9" localSheetId="3">'Resultatrapport per avdeling'!#REF!</definedName>
    <definedName name="OSRRefC9x_0" localSheetId="0">Resultatrapport!$C$15:$C$18</definedName>
    <definedName name="OSRRefC9x_0" localSheetId="3">'Resultatrapport per avdeling'!#REF!</definedName>
    <definedName name="OSRRefC9x_1" localSheetId="3">'Resultatrapport per avdeling'!#REF!</definedName>
    <definedName name="OSRRefC9x_10" localSheetId="3">'Resultatrapport per avdeling'!#REF!</definedName>
    <definedName name="OSRRefC9x_11" localSheetId="3">'Resultatrapport per avdeling'!#REF!</definedName>
    <definedName name="OSRRefC9x_12" localSheetId="3">'Resultatrapport per avdeling'!#REF!</definedName>
    <definedName name="OSRRefC9x_13" localSheetId="3">'Resultatrapport per avdeling'!#REF!</definedName>
    <definedName name="OSRRefC9x_2" localSheetId="3">'Resultatrapport per avdeling'!#REF!</definedName>
    <definedName name="OSRRefC9x_3" localSheetId="3">'Resultatrapport per avdeling'!#REF!</definedName>
    <definedName name="OSRRefC9x_4" localSheetId="3">'Resultatrapport per avdeling'!#REF!</definedName>
    <definedName name="OSRRefC9x_5" localSheetId="3">'Resultatrapport per avdeling'!#REF!</definedName>
    <definedName name="OSRRefC9x_6" localSheetId="3">'Resultatrapport per avdeling'!#REF!</definedName>
    <definedName name="OSRRefC9x_7" localSheetId="3">'Resultatrapport per avdeling'!#REF!</definedName>
    <definedName name="OSRRefC9x_8" localSheetId="3">'Resultatrapport per avdeling'!$C$11:$C$11</definedName>
    <definedName name="OSRRefC9x_9" localSheetId="3">'Resultatrapport per avdeling'!#REF!</definedName>
    <definedName name="OSRRefD11x_0" localSheetId="0">Resultatrapport!$D$20</definedName>
    <definedName name="OSRRefD13x_0" localSheetId="0">Resultatrapport!$D$22:$D$35</definedName>
    <definedName name="OSRRefD17x_0" localSheetId="0">Resultatrapport!$D$39:$D$42</definedName>
    <definedName name="OSRRefD19x_0" localSheetId="0">Resultatrapport!$D$44:$D$52</definedName>
    <definedName name="OSRRefD21x_0" localSheetId="0">Resultatrapport!$D$54:$D$55</definedName>
    <definedName name="OSRRefD23x_0" localSheetId="0">Resultatrapport!$D$57:$D$86</definedName>
    <definedName name="OSRRefD29x_0" localSheetId="0">Resultatrapport!$D$92:$D$94</definedName>
    <definedName name="OSRRefD31x_0" localSheetId="0">Resultatrapport!$D$96:$D$99</definedName>
    <definedName name="OSRRefD7x_0" localSheetId="0">Resultatrapport!$D$7:$D$13</definedName>
    <definedName name="OSRRefD9x_0" localSheetId="0">Resultatrapport!$D$15:$D$18</definedName>
    <definedName name="OSRRefF11x_0" localSheetId="0">Resultatrapport!$F$20</definedName>
    <definedName name="OSRRefF13x_0" localSheetId="0">Resultatrapport!$F$22:$F$35</definedName>
    <definedName name="OSRRefF17x_0" localSheetId="0">Resultatrapport!$F$39:$F$42</definedName>
    <definedName name="OSRRefF19x_0" localSheetId="0">Resultatrapport!$F$44:$F$52</definedName>
    <definedName name="OSRRefF21x_0" localSheetId="0">Resultatrapport!$F$54:$F$55</definedName>
    <definedName name="OSRRefF23x_0" localSheetId="0">Resultatrapport!$F$57:$F$86</definedName>
    <definedName name="OSRRefF29x_0" localSheetId="0">Resultatrapport!$F$92:$F$94</definedName>
    <definedName name="OSRRefF31x_0" localSheetId="0">Resultatrapport!$F$96:$F$99</definedName>
    <definedName name="OSRRefF7x_0" localSheetId="0">Resultatrapport!$F$7:$F$13</definedName>
    <definedName name="OSRRefF9x_0" localSheetId="0">Resultatrapport!$F$15:$F$18</definedName>
    <definedName name="OSRRefG11x_0" localSheetId="0">Resultatrapport!$G$20</definedName>
    <definedName name="OSRRefG13x_0" localSheetId="0">Resultatrapport!$G$22:$G$35</definedName>
    <definedName name="OSRRefG17x_0" localSheetId="0">Resultatrapport!$G$39:$G$42</definedName>
    <definedName name="OSRRefG19x_0" localSheetId="0">Resultatrapport!$G$44:$G$52</definedName>
    <definedName name="OSRRefG21x_0" localSheetId="0">Resultatrapport!$G$54:$G$55</definedName>
    <definedName name="OSRRefG23x_0" localSheetId="0">Resultatrapport!$G$57:$G$86</definedName>
    <definedName name="OSRRefG29x_0" localSheetId="0">Resultatrapport!$G$92:$G$94</definedName>
    <definedName name="OSRRefG31x_0" localSheetId="0">Resultatrapport!$G$96:$G$99</definedName>
    <definedName name="OSRRefG7x_0" localSheetId="0">Resultatrapport!$G$7:$G$13</definedName>
    <definedName name="OSRRefG9x_0" localSheetId="0">Resultatrapport!$G$15:$G$18</definedName>
    <definedName name="TotkapIB" localSheetId="5">#REF!</definedName>
    <definedName name="TotkapIB" localSheetId="2">#REF!</definedName>
    <definedName name="TotkapIB" localSheetId="4">#REF!</definedName>
    <definedName name="TotkapIB" localSheetId="1">#REF!</definedName>
    <definedName name="TotkapIB" localSheetId="0">#REF!</definedName>
    <definedName name="TotkapIB" localSheetId="3">#REF!</definedName>
    <definedName name="TotkapIB">#REF!</definedName>
    <definedName name="TotkapUB" localSheetId="5">#REF!</definedName>
    <definedName name="TotkapUB" localSheetId="2">#REF!</definedName>
    <definedName name="TotkapUB" localSheetId="4">#REF!</definedName>
    <definedName name="TotkapUB" localSheetId="1">#REF!</definedName>
    <definedName name="TotkapUB" localSheetId="0">#REF!</definedName>
    <definedName name="TotkapUB" localSheetId="3">#REF!</definedName>
    <definedName name="TotkapUB">#REF!</definedName>
    <definedName name="_xlnm.Print_Area" localSheetId="5">'OSR_Resultatr...74938528_CCHFC5'!$B$1:$E$39</definedName>
    <definedName name="_xlnm.Print_Area" localSheetId="2">'OSR_Resultatr...7971fa5d_S12XER'!$B$1:$H$61</definedName>
    <definedName name="_xlnm.Print_Area" localSheetId="4">'OSR_Resultatr...avdeling_YL5G00'!$B$1:$E$39</definedName>
    <definedName name="_xlnm.Print_Area" localSheetId="1">OSR_Resultatrapport_1UEKYZN!$B$1:$H$61</definedName>
    <definedName name="_xlnm.Print_Area" localSheetId="0">Resultatrapport!$B$1:$H$129</definedName>
    <definedName name="_xlnm.Print_Area" localSheetId="3">'Resultatrapport per avdeling'!$B$1:$C$46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3" i="4" l="1"/>
  <c r="F21" i="4"/>
  <c r="F14" i="4"/>
  <c r="F10" i="4"/>
  <c r="F6" i="4"/>
  <c r="F19" i="4" s="1"/>
  <c r="E12" i="4" l="1"/>
  <c r="E9" i="4"/>
  <c r="D42" i="4"/>
  <c r="D23" i="4"/>
  <c r="D38" i="4" s="1"/>
  <c r="D21" i="4"/>
  <c r="D14" i="4"/>
  <c r="D10" i="4"/>
  <c r="D6" i="4"/>
  <c r="C43" i="4"/>
  <c r="C42" i="4" s="1"/>
  <c r="C23" i="4"/>
  <c r="C38" i="4" s="1"/>
  <c r="C21" i="4"/>
  <c r="C14" i="4"/>
  <c r="C12" i="4"/>
  <c r="C11" i="4"/>
  <c r="C9" i="4"/>
  <c r="C6" i="4" s="1"/>
  <c r="C10" i="4" l="1"/>
  <c r="C19" i="4" s="1"/>
  <c r="C40" i="4" s="1"/>
  <c r="C45" i="4" s="1"/>
  <c r="D19" i="4"/>
  <c r="D40" i="4"/>
  <c r="D45" i="4" s="1"/>
  <c r="F42" i="4"/>
  <c r="F38" i="4" l="1"/>
  <c r="F40" i="4" s="1"/>
  <c r="F45" i="4" s="1"/>
  <c r="E42" i="4"/>
  <c r="E23" i="4"/>
  <c r="E21" i="4"/>
  <c r="B28" i="4"/>
  <c r="B30" i="4"/>
  <c r="B25" i="4"/>
  <c r="B24" i="4"/>
  <c r="E14" i="4"/>
  <c r="B15" i="4"/>
  <c r="E6" i="4"/>
  <c r="E38" i="4" l="1"/>
  <c r="E10" i="4"/>
  <c r="E19" i="4" s="1"/>
  <c r="E40" i="4" l="1"/>
  <c r="E45" i="4" s="1"/>
  <c r="E27" i="6"/>
  <c r="E25" i="6"/>
  <c r="E15" i="6"/>
  <c r="E27" i="5"/>
  <c r="E25" i="5"/>
  <c r="E15" i="5"/>
  <c r="B43" i="4"/>
  <c r="B36" i="4"/>
  <c r="B35" i="4"/>
  <c r="B34" i="4"/>
  <c r="B33" i="4"/>
  <c r="B31" i="4"/>
  <c r="B27" i="4"/>
  <c r="B26" i="4"/>
  <c r="B22" i="4"/>
  <c r="B18" i="4"/>
  <c r="B17" i="4"/>
  <c r="B16" i="4"/>
  <c r="B11" i="4"/>
  <c r="B9" i="4"/>
  <c r="B8" i="4"/>
  <c r="B7" i="4"/>
  <c r="H27" i="3"/>
  <c r="H25" i="3"/>
  <c r="H15" i="3"/>
  <c r="H27" i="2"/>
  <c r="H25" i="2"/>
  <c r="H15" i="2"/>
  <c r="V114" i="1"/>
  <c r="V121" i="1" s="1"/>
  <c r="U114" i="1"/>
  <c r="U121" i="1" s="1"/>
  <c r="T114" i="1"/>
  <c r="T121" i="1" s="1"/>
  <c r="S114" i="1"/>
  <c r="S121" i="1" s="1"/>
  <c r="R114" i="1"/>
  <c r="R121" i="1" s="1"/>
  <c r="Q114" i="1"/>
  <c r="Q121" i="1" s="1"/>
  <c r="P114" i="1"/>
  <c r="P121" i="1" s="1"/>
  <c r="O114" i="1"/>
  <c r="O121" i="1" s="1"/>
  <c r="N114" i="1"/>
  <c r="N121" i="1" s="1"/>
  <c r="M114" i="1"/>
  <c r="M121" i="1" s="1"/>
  <c r="L114" i="1"/>
  <c r="L121" i="1" s="1"/>
  <c r="K114" i="1"/>
  <c r="K121" i="1" s="1"/>
  <c r="V113" i="1"/>
  <c r="V120" i="1" s="1"/>
  <c r="U113" i="1"/>
  <c r="T113" i="1"/>
  <c r="T120" i="1" s="1"/>
  <c r="S113" i="1"/>
  <c r="S120" i="1" s="1"/>
  <c r="R113" i="1"/>
  <c r="Q113" i="1"/>
  <c r="Q120" i="1" s="1"/>
  <c r="P113" i="1"/>
  <c r="P120" i="1" s="1"/>
  <c r="O113" i="1"/>
  <c r="O120" i="1" s="1"/>
  <c r="N113" i="1"/>
  <c r="N120" i="1" s="1"/>
  <c r="M113" i="1"/>
  <c r="M120" i="1" s="1"/>
  <c r="L113" i="1"/>
  <c r="L120" i="1" s="1"/>
  <c r="K113" i="1"/>
  <c r="K120" i="1" s="1"/>
  <c r="H99" i="1"/>
  <c r="B99" i="1"/>
  <c r="H98" i="1"/>
  <c r="B98" i="1"/>
  <c r="H97" i="1"/>
  <c r="B97" i="1"/>
  <c r="H96" i="1"/>
  <c r="B96" i="1"/>
  <c r="G95" i="1"/>
  <c r="F95" i="1"/>
  <c r="H95" i="1" s="1"/>
  <c r="D95" i="1"/>
  <c r="C95" i="1"/>
  <c r="G94" i="1"/>
  <c r="F94" i="1"/>
  <c r="H94" i="1" s="1"/>
  <c r="D94" i="1"/>
  <c r="C94" i="1"/>
  <c r="C91" i="1" s="1"/>
  <c r="B94" i="1"/>
  <c r="H93" i="1"/>
  <c r="G93" i="1"/>
  <c r="F93" i="1"/>
  <c r="D93" i="1"/>
  <c r="C93" i="1"/>
  <c r="B93" i="1"/>
  <c r="G92" i="1"/>
  <c r="G91" i="1" s="1"/>
  <c r="F92" i="1"/>
  <c r="D92" i="1"/>
  <c r="D91" i="1" s="1"/>
  <c r="C92" i="1"/>
  <c r="B92" i="1"/>
  <c r="H90" i="1"/>
  <c r="H88" i="1"/>
  <c r="H86" i="1"/>
  <c r="B86" i="1"/>
  <c r="H85" i="1"/>
  <c r="B85" i="1"/>
  <c r="H84" i="1"/>
  <c r="B84" i="1"/>
  <c r="H83" i="1"/>
  <c r="B83" i="1"/>
  <c r="H82" i="1"/>
  <c r="B82" i="1"/>
  <c r="H81" i="1"/>
  <c r="B81" i="1"/>
  <c r="H80" i="1"/>
  <c r="B80" i="1"/>
  <c r="H79" i="1"/>
  <c r="B79" i="1"/>
  <c r="H78" i="1"/>
  <c r="B78" i="1"/>
  <c r="H77" i="1"/>
  <c r="B77" i="1"/>
  <c r="H76" i="1"/>
  <c r="B76" i="1"/>
  <c r="H75" i="1"/>
  <c r="B75" i="1"/>
  <c r="H74" i="1"/>
  <c r="B74" i="1"/>
  <c r="H73" i="1"/>
  <c r="B73" i="1"/>
  <c r="H72" i="1"/>
  <c r="B72" i="1"/>
  <c r="H71" i="1"/>
  <c r="B71" i="1"/>
  <c r="H70" i="1"/>
  <c r="B70" i="1"/>
  <c r="H69" i="1"/>
  <c r="B69" i="1"/>
  <c r="H68" i="1"/>
  <c r="B68" i="1"/>
  <c r="H67" i="1"/>
  <c r="B67" i="1"/>
  <c r="H66" i="1"/>
  <c r="B66" i="1"/>
  <c r="H65" i="1"/>
  <c r="B65" i="1"/>
  <c r="H64" i="1"/>
  <c r="B64" i="1"/>
  <c r="H63" i="1"/>
  <c r="B63" i="1"/>
  <c r="H62" i="1"/>
  <c r="B62" i="1"/>
  <c r="H61" i="1"/>
  <c r="B61" i="1"/>
  <c r="H60" i="1"/>
  <c r="B60" i="1"/>
  <c r="H59" i="1"/>
  <c r="B59" i="1"/>
  <c r="H58" i="1"/>
  <c r="B58" i="1"/>
  <c r="H57" i="1"/>
  <c r="B57" i="1"/>
  <c r="G56" i="1"/>
  <c r="F56" i="1"/>
  <c r="H56" i="1" s="1"/>
  <c r="D56" i="1"/>
  <c r="C56" i="1"/>
  <c r="H55" i="1"/>
  <c r="B55" i="1"/>
  <c r="H54" i="1"/>
  <c r="B54" i="1"/>
  <c r="G53" i="1"/>
  <c r="F53" i="1"/>
  <c r="H53" i="1" s="1"/>
  <c r="D53" i="1"/>
  <c r="C53" i="1"/>
  <c r="H52" i="1"/>
  <c r="B52" i="1"/>
  <c r="H51" i="1"/>
  <c r="B51" i="1"/>
  <c r="H50" i="1"/>
  <c r="B50" i="1"/>
  <c r="H49" i="1"/>
  <c r="B49" i="1"/>
  <c r="H48" i="1"/>
  <c r="B48" i="1"/>
  <c r="H47" i="1"/>
  <c r="B47" i="1"/>
  <c r="H46" i="1"/>
  <c r="B46" i="1"/>
  <c r="H45" i="1"/>
  <c r="B45" i="1"/>
  <c r="H44" i="1"/>
  <c r="B44" i="1"/>
  <c r="G43" i="1"/>
  <c r="F43" i="1"/>
  <c r="D43" i="1"/>
  <c r="C43" i="1"/>
  <c r="H42" i="1"/>
  <c r="B42" i="1"/>
  <c r="H41" i="1"/>
  <c r="B41" i="1"/>
  <c r="H40" i="1"/>
  <c r="B40" i="1"/>
  <c r="H39" i="1"/>
  <c r="B39" i="1"/>
  <c r="G38" i="1"/>
  <c r="G87" i="1" s="1"/>
  <c r="F38" i="1"/>
  <c r="F87" i="1" s="1"/>
  <c r="D38" i="1"/>
  <c r="C38" i="1"/>
  <c r="C87" i="1" s="1"/>
  <c r="C106" i="1" s="1"/>
  <c r="H37" i="1"/>
  <c r="G35" i="1"/>
  <c r="F35" i="1"/>
  <c r="D35" i="1"/>
  <c r="C35" i="1"/>
  <c r="B35" i="1"/>
  <c r="G34" i="1"/>
  <c r="F34" i="1"/>
  <c r="D34" i="1"/>
  <c r="C34" i="1"/>
  <c r="B34" i="1"/>
  <c r="G33" i="1"/>
  <c r="F33" i="1"/>
  <c r="H33" i="1" s="1"/>
  <c r="D33" i="1"/>
  <c r="C33" i="1"/>
  <c r="B33" i="1"/>
  <c r="G32" i="1"/>
  <c r="F32" i="1"/>
  <c r="D32" i="1"/>
  <c r="C32" i="1"/>
  <c r="B32" i="1"/>
  <c r="G31" i="1"/>
  <c r="F31" i="1"/>
  <c r="D31" i="1"/>
  <c r="C31" i="1"/>
  <c r="B31" i="1"/>
  <c r="G30" i="1"/>
  <c r="F30" i="1"/>
  <c r="D30" i="1"/>
  <c r="C30" i="1"/>
  <c r="B30" i="1"/>
  <c r="G29" i="1"/>
  <c r="F29" i="1"/>
  <c r="D29" i="1"/>
  <c r="C29" i="1"/>
  <c r="B29" i="1"/>
  <c r="G28" i="1"/>
  <c r="H28" i="1" s="1"/>
  <c r="F28" i="1"/>
  <c r="D28" i="1"/>
  <c r="C28" i="1"/>
  <c r="B28" i="1"/>
  <c r="G27" i="1"/>
  <c r="F27" i="1"/>
  <c r="D27" i="1"/>
  <c r="C27" i="1"/>
  <c r="B27" i="1"/>
  <c r="G26" i="1"/>
  <c r="F26" i="1"/>
  <c r="D26" i="1"/>
  <c r="C26" i="1"/>
  <c r="B26" i="1"/>
  <c r="G25" i="1"/>
  <c r="F25" i="1"/>
  <c r="H25" i="1" s="1"/>
  <c r="D25" i="1"/>
  <c r="C25" i="1"/>
  <c r="B25" i="1"/>
  <c r="G24" i="1"/>
  <c r="F24" i="1"/>
  <c r="D24" i="1"/>
  <c r="C24" i="1"/>
  <c r="B24" i="1"/>
  <c r="G23" i="1"/>
  <c r="F23" i="1"/>
  <c r="D23" i="1"/>
  <c r="C23" i="1"/>
  <c r="B23" i="1"/>
  <c r="G22" i="1"/>
  <c r="F22" i="1"/>
  <c r="D22" i="1"/>
  <c r="D21" i="1" s="1"/>
  <c r="C22" i="1"/>
  <c r="B22" i="1"/>
  <c r="G20" i="1"/>
  <c r="G19" i="1" s="1"/>
  <c r="F20" i="1"/>
  <c r="D20" i="1"/>
  <c r="D19" i="1" s="1"/>
  <c r="C20" i="1"/>
  <c r="C19" i="1" s="1"/>
  <c r="B20" i="1"/>
  <c r="G18" i="1"/>
  <c r="F18" i="1"/>
  <c r="H18" i="1" s="1"/>
  <c r="D18" i="1"/>
  <c r="C18" i="1"/>
  <c r="B18" i="1"/>
  <c r="G17" i="1"/>
  <c r="H17" i="1" s="1"/>
  <c r="F17" i="1"/>
  <c r="D17" i="1"/>
  <c r="C17" i="1"/>
  <c r="B17" i="1"/>
  <c r="G16" i="1"/>
  <c r="F16" i="1"/>
  <c r="H16" i="1" s="1"/>
  <c r="D16" i="1"/>
  <c r="D14" i="1" s="1"/>
  <c r="C16" i="1"/>
  <c r="B16" i="1"/>
  <c r="G15" i="1"/>
  <c r="F15" i="1"/>
  <c r="D15" i="1"/>
  <c r="C15" i="1"/>
  <c r="B15" i="1"/>
  <c r="F14" i="1"/>
  <c r="V13" i="1"/>
  <c r="U13" i="1"/>
  <c r="T13" i="1"/>
  <c r="S13" i="1"/>
  <c r="R13" i="1"/>
  <c r="Q13" i="1"/>
  <c r="P13" i="1"/>
  <c r="O13" i="1"/>
  <c r="N13" i="1"/>
  <c r="M13" i="1"/>
  <c r="L13" i="1"/>
  <c r="K13" i="1"/>
  <c r="G13" i="1"/>
  <c r="F13" i="1"/>
  <c r="H13" i="1" s="1"/>
  <c r="D13" i="1"/>
  <c r="C13" i="1"/>
  <c r="B13" i="1"/>
  <c r="V12" i="1"/>
  <c r="U12" i="1"/>
  <c r="T12" i="1"/>
  <c r="S12" i="1"/>
  <c r="R12" i="1"/>
  <c r="Q12" i="1"/>
  <c r="P12" i="1"/>
  <c r="O12" i="1"/>
  <c r="N12" i="1"/>
  <c r="M12" i="1"/>
  <c r="L12" i="1"/>
  <c r="K12" i="1"/>
  <c r="G12" i="1"/>
  <c r="F12" i="1"/>
  <c r="H12" i="1" s="1"/>
  <c r="D12" i="1"/>
  <c r="C12" i="1"/>
  <c r="B12" i="1"/>
  <c r="V11" i="1"/>
  <c r="U11" i="1"/>
  <c r="T11" i="1"/>
  <c r="S11" i="1"/>
  <c r="R11" i="1"/>
  <c r="Q11" i="1"/>
  <c r="P11" i="1"/>
  <c r="O11" i="1"/>
  <c r="N11" i="1"/>
  <c r="M11" i="1"/>
  <c r="L11" i="1"/>
  <c r="K11" i="1"/>
  <c r="G11" i="1"/>
  <c r="F11" i="1"/>
  <c r="D11" i="1"/>
  <c r="C11" i="1"/>
  <c r="B11" i="1"/>
  <c r="V10" i="1"/>
  <c r="U10" i="1"/>
  <c r="T10" i="1"/>
  <c r="S10" i="1"/>
  <c r="R10" i="1"/>
  <c r="Q10" i="1"/>
  <c r="P10" i="1"/>
  <c r="O10" i="1"/>
  <c r="N10" i="1"/>
  <c r="M10" i="1"/>
  <c r="L10" i="1"/>
  <c r="K10" i="1"/>
  <c r="G10" i="1"/>
  <c r="H10" i="1" s="1"/>
  <c r="F10" i="1"/>
  <c r="D10" i="1"/>
  <c r="C10" i="1"/>
  <c r="B10" i="1"/>
  <c r="V9" i="1"/>
  <c r="U9" i="1"/>
  <c r="T9" i="1"/>
  <c r="S9" i="1"/>
  <c r="R9" i="1"/>
  <c r="Q9" i="1"/>
  <c r="P9" i="1"/>
  <c r="O9" i="1"/>
  <c r="N9" i="1"/>
  <c r="M9" i="1"/>
  <c r="L9" i="1"/>
  <c r="K9" i="1"/>
  <c r="G9" i="1"/>
  <c r="F9" i="1"/>
  <c r="H9" i="1" s="1"/>
  <c r="D9" i="1"/>
  <c r="C9" i="1"/>
  <c r="B9" i="1"/>
  <c r="V8" i="1"/>
  <c r="U8" i="1"/>
  <c r="T8" i="1"/>
  <c r="S8" i="1"/>
  <c r="R8" i="1"/>
  <c r="Q8" i="1"/>
  <c r="P8" i="1"/>
  <c r="O8" i="1"/>
  <c r="N8" i="1"/>
  <c r="M8" i="1"/>
  <c r="L8" i="1"/>
  <c r="K8" i="1"/>
  <c r="G8" i="1"/>
  <c r="F8" i="1"/>
  <c r="H8" i="1" s="1"/>
  <c r="D8" i="1"/>
  <c r="C8" i="1"/>
  <c r="C6" i="1" s="1"/>
  <c r="C104" i="1" s="1"/>
  <c r="B8" i="1"/>
  <c r="V7" i="1"/>
  <c r="U7" i="1"/>
  <c r="T7" i="1"/>
  <c r="S7" i="1"/>
  <c r="R7" i="1"/>
  <c r="Q7" i="1"/>
  <c r="P7" i="1"/>
  <c r="O7" i="1"/>
  <c r="N7" i="1"/>
  <c r="M7" i="1"/>
  <c r="L7" i="1"/>
  <c r="K7" i="1"/>
  <c r="G7" i="1"/>
  <c r="F7" i="1"/>
  <c r="H7" i="1" s="1"/>
  <c r="D7" i="1"/>
  <c r="D6" i="1" s="1"/>
  <c r="D104" i="1" s="1"/>
  <c r="C7" i="1"/>
  <c r="B7" i="1"/>
  <c r="G6" i="1" l="1"/>
  <c r="G106" i="1" s="1"/>
  <c r="C14" i="1"/>
  <c r="H20" i="1"/>
  <c r="H22" i="1"/>
  <c r="H27" i="1"/>
  <c r="H30" i="1"/>
  <c r="H35" i="1"/>
  <c r="D87" i="1"/>
  <c r="D106" i="1" s="1"/>
  <c r="H24" i="1"/>
  <c r="H29" i="1"/>
  <c r="H32" i="1"/>
  <c r="G14" i="1"/>
  <c r="H14" i="1" s="1"/>
  <c r="F21" i="1"/>
  <c r="H11" i="1"/>
  <c r="H23" i="1"/>
  <c r="H26" i="1"/>
  <c r="H31" i="1"/>
  <c r="H34" i="1"/>
  <c r="C21" i="1"/>
  <c r="C36" i="1" s="1"/>
  <c r="C89" i="1" s="1"/>
  <c r="C100" i="1" s="1"/>
  <c r="C107" i="1" s="1"/>
  <c r="H92" i="1"/>
  <c r="G105" i="1"/>
  <c r="G104" i="1"/>
  <c r="H87" i="1"/>
  <c r="U120" i="1"/>
  <c r="H15" i="1"/>
  <c r="D36" i="1"/>
  <c r="D89" i="1" s="1"/>
  <c r="D100" i="1" s="1"/>
  <c r="D107" i="1" s="1"/>
  <c r="C105" i="1"/>
  <c r="R120" i="1"/>
  <c r="F6" i="1"/>
  <c r="F105" i="1" s="1"/>
  <c r="F19" i="1"/>
  <c r="H19" i="1" s="1"/>
  <c r="G21" i="1"/>
  <c r="H38" i="1"/>
  <c r="F91" i="1"/>
  <c r="H91" i="1" s="1"/>
  <c r="D105" i="1"/>
  <c r="K115" i="1"/>
  <c r="K122" i="1" s="1"/>
  <c r="H43" i="1"/>
  <c r="L115" i="1"/>
  <c r="L122" i="1" s="1"/>
  <c r="G36" i="1" l="1"/>
  <c r="G89" i="1" s="1"/>
  <c r="G100" i="1" s="1"/>
  <c r="G107" i="1" s="1"/>
  <c r="F104" i="1"/>
  <c r="F36" i="1"/>
  <c r="H6" i="1"/>
  <c r="H21" i="1"/>
  <c r="F106" i="1"/>
  <c r="M115" i="1"/>
  <c r="M122" i="1" l="1"/>
  <c r="N115" i="1"/>
  <c r="C48" i="4"/>
  <c r="F89" i="1"/>
  <c r="H36" i="1"/>
  <c r="K45" i="3"/>
  <c r="F13" i="3"/>
  <c r="G31" i="3"/>
  <c r="G10" i="3"/>
  <c r="D30" i="3"/>
  <c r="T7" i="2"/>
  <c r="C17" i="3"/>
  <c r="C7" i="2"/>
  <c r="B23" i="6"/>
  <c r="D30" i="2"/>
  <c r="C18" i="6"/>
  <c r="C28" i="2"/>
  <c r="B9" i="6"/>
  <c r="F9" i="3"/>
  <c r="G23" i="2"/>
  <c r="F12" i="2"/>
  <c r="E2" i="5"/>
  <c r="R46" i="3"/>
  <c r="Q46" i="2"/>
  <c r="O46" i="3"/>
  <c r="G17" i="3"/>
  <c r="G8" i="2"/>
  <c r="C29" i="6"/>
  <c r="B11" i="2"/>
  <c r="G19" i="2"/>
  <c r="C9" i="2"/>
  <c r="C18" i="3"/>
  <c r="V45" i="3"/>
  <c r="Q45" i="3"/>
  <c r="C28" i="3"/>
  <c r="M7" i="3"/>
  <c r="F10" i="3"/>
  <c r="F22" i="2"/>
  <c r="B21" i="2"/>
  <c r="K45" i="2"/>
  <c r="B31" i="5"/>
  <c r="B31" i="2"/>
  <c r="B1" i="2"/>
  <c r="C13" i="5"/>
  <c r="C7" i="5"/>
  <c r="C11" i="5"/>
  <c r="F19" i="2"/>
  <c r="D9" i="2"/>
  <c r="U7" i="2"/>
  <c r="F7" i="2"/>
  <c r="F29" i="3"/>
  <c r="O46" i="2"/>
  <c r="C29" i="2"/>
  <c r="B13" i="2"/>
  <c r="C22" i="2"/>
  <c r="F11" i="2"/>
  <c r="F23" i="2"/>
  <c r="C20" i="5"/>
  <c r="B19" i="3"/>
  <c r="C23" i="3"/>
  <c r="F28" i="2"/>
  <c r="F21" i="3"/>
  <c r="C18" i="2"/>
  <c r="G18" i="3"/>
  <c r="C23" i="5"/>
  <c r="C28" i="6"/>
  <c r="G9" i="3"/>
  <c r="C17" i="5"/>
  <c r="R45" i="2"/>
  <c r="B1" i="5"/>
  <c r="B7" i="2"/>
  <c r="G2" i="2"/>
  <c r="D19" i="3"/>
  <c r="F31" i="3"/>
  <c r="U46" i="2"/>
  <c r="G28" i="3"/>
  <c r="F6" i="3"/>
  <c r="C29" i="5"/>
  <c r="D21" i="3"/>
  <c r="R46" i="2"/>
  <c r="V45" i="2"/>
  <c r="C21" i="3"/>
  <c r="F16" i="3"/>
  <c r="G29" i="2"/>
  <c r="C20" i="6"/>
  <c r="O7" i="3"/>
  <c r="T46" i="3"/>
  <c r="K7" i="3"/>
  <c r="C20" i="2"/>
  <c r="B17" i="3"/>
  <c r="B31" i="6"/>
  <c r="D6" i="3"/>
  <c r="U7" i="3"/>
  <c r="S45" i="2"/>
  <c r="D8" i="3"/>
  <c r="B31" i="3"/>
  <c r="B17" i="2"/>
  <c r="C23" i="2"/>
  <c r="C21" i="6"/>
  <c r="C12" i="6"/>
  <c r="G18" i="2"/>
  <c r="C30" i="2"/>
  <c r="C23" i="6"/>
  <c r="C16" i="2"/>
  <c r="B21" i="5"/>
  <c r="D28" i="3"/>
  <c r="G28" i="2"/>
  <c r="S46" i="3"/>
  <c r="C12" i="2"/>
  <c r="O45" i="2"/>
  <c r="G31" i="2"/>
  <c r="C8" i="3"/>
  <c r="C10" i="2"/>
  <c r="D18" i="3"/>
  <c r="C18" i="5"/>
  <c r="D12" i="2"/>
  <c r="D13" i="2"/>
  <c r="C11" i="2"/>
  <c r="C20" i="3"/>
  <c r="C2" i="3"/>
  <c r="G20" i="3"/>
  <c r="C30" i="6"/>
  <c r="U45" i="3"/>
  <c r="C30" i="3"/>
  <c r="P46" i="2"/>
  <c r="B19" i="2"/>
  <c r="G21" i="3"/>
  <c r="M46" i="2"/>
  <c r="T45" i="3"/>
  <c r="L7" i="3"/>
  <c r="C12" i="3"/>
  <c r="C6" i="3"/>
  <c r="C9" i="3"/>
  <c r="N46" i="3"/>
  <c r="C19" i="2"/>
  <c r="C13" i="2"/>
  <c r="U46" i="3"/>
  <c r="O45" i="3"/>
  <c r="F29" i="2"/>
  <c r="D11" i="3"/>
  <c r="D23" i="2"/>
  <c r="B9" i="2"/>
  <c r="B7" i="3"/>
  <c r="C29" i="3"/>
  <c r="C2" i="2"/>
  <c r="G2" i="3"/>
  <c r="D18" i="2"/>
  <c r="G10" i="2"/>
  <c r="D10" i="2"/>
  <c r="G17" i="2"/>
  <c r="D22" i="2"/>
  <c r="C12" i="5"/>
  <c r="D7" i="2"/>
  <c r="C16" i="3"/>
  <c r="C22" i="6"/>
  <c r="C9" i="6"/>
  <c r="G12" i="3"/>
  <c r="N46" i="2"/>
  <c r="V46" i="2"/>
  <c r="L45" i="2"/>
  <c r="B17" i="6"/>
  <c r="F19" i="3"/>
  <c r="C11" i="6"/>
  <c r="C11" i="3"/>
  <c r="G20" i="2"/>
  <c r="F28" i="3"/>
  <c r="C21" i="2"/>
  <c r="F6" i="2"/>
  <c r="E2" i="6"/>
  <c r="F13" i="2"/>
  <c r="G29" i="3"/>
  <c r="N7" i="2"/>
  <c r="B29" i="2"/>
  <c r="G22" i="3"/>
  <c r="C17" i="6"/>
  <c r="D19" i="2"/>
  <c r="C10" i="6"/>
  <c r="D17" i="2"/>
  <c r="C31" i="2"/>
  <c r="F31" i="2"/>
  <c r="D13" i="3"/>
  <c r="B23" i="5"/>
  <c r="B21" i="6"/>
  <c r="G6" i="3"/>
  <c r="C31" i="5"/>
  <c r="D31" i="2"/>
  <c r="K7" i="2"/>
  <c r="G7" i="3"/>
  <c r="F20" i="2"/>
  <c r="C6" i="2"/>
  <c r="F17" i="3"/>
  <c r="F9" i="2"/>
  <c r="B19" i="6"/>
  <c r="P46" i="3"/>
  <c r="F10" i="2"/>
  <c r="D22" i="3"/>
  <c r="L45" i="3"/>
  <c r="D10" i="3"/>
  <c r="F16" i="2"/>
  <c r="M7" i="2"/>
  <c r="C10" i="5"/>
  <c r="D9" i="3"/>
  <c r="G8" i="3"/>
  <c r="P45" i="2"/>
  <c r="G9" i="2"/>
  <c r="B9" i="3"/>
  <c r="V46" i="3"/>
  <c r="F17" i="2"/>
  <c r="L46" i="3"/>
  <c r="D8" i="2"/>
  <c r="K46" i="2"/>
  <c r="C7" i="6"/>
  <c r="C13" i="3"/>
  <c r="B23" i="2"/>
  <c r="C4" i="5"/>
  <c r="B17" i="5"/>
  <c r="F18" i="3"/>
  <c r="S45" i="3"/>
  <c r="C10" i="3"/>
  <c r="B9" i="5"/>
  <c r="C30" i="5"/>
  <c r="B19" i="5"/>
  <c r="N45" i="2"/>
  <c r="D20" i="2"/>
  <c r="D20" i="3"/>
  <c r="C6" i="5"/>
  <c r="B29" i="3"/>
  <c r="C8" i="2"/>
  <c r="O7" i="2"/>
  <c r="D28" i="2"/>
  <c r="F23" i="3"/>
  <c r="D12" i="3"/>
  <c r="B29" i="6"/>
  <c r="D7" i="3"/>
  <c r="F30" i="3"/>
  <c r="D11" i="2"/>
  <c r="K46" i="3"/>
  <c r="D29" i="3"/>
  <c r="B23" i="3"/>
  <c r="B13" i="5"/>
  <c r="B11" i="5"/>
  <c r="G13" i="3"/>
  <c r="G7" i="2"/>
  <c r="D16" i="3"/>
  <c r="F12" i="3"/>
  <c r="P7" i="2"/>
  <c r="D23" i="3"/>
  <c r="T46" i="2"/>
  <c r="T45" i="2"/>
  <c r="C31" i="6"/>
  <c r="R7" i="3"/>
  <c r="F7" i="3"/>
  <c r="L46" i="2"/>
  <c r="P7" i="3"/>
  <c r="F18" i="2"/>
  <c r="N45" i="3"/>
  <c r="B1" i="3"/>
  <c r="B1" i="6"/>
  <c r="V7" i="3"/>
  <c r="C22" i="5"/>
  <c r="C7" i="3"/>
  <c r="Q7" i="2"/>
  <c r="C4" i="6"/>
  <c r="C21" i="5"/>
  <c r="S7" i="3"/>
  <c r="C19" i="6"/>
  <c r="C17" i="2"/>
  <c r="M45" i="2"/>
  <c r="C19" i="3"/>
  <c r="T7" i="3"/>
  <c r="C19" i="5"/>
  <c r="D16" i="2"/>
  <c r="G30" i="3"/>
  <c r="C6" i="6"/>
  <c r="G23" i="3"/>
  <c r="F21" i="2"/>
  <c r="D6" i="2"/>
  <c r="F8" i="3"/>
  <c r="Q7" i="3"/>
  <c r="D21" i="2"/>
  <c r="G30" i="2"/>
  <c r="B13" i="3"/>
  <c r="B13" i="6"/>
  <c r="F11" i="3"/>
  <c r="C8" i="6"/>
  <c r="U45" i="2"/>
  <c r="C16" i="5"/>
  <c r="G19" i="3"/>
  <c r="C9" i="5"/>
  <c r="C31" i="3"/>
  <c r="B29" i="5"/>
  <c r="G11" i="2"/>
  <c r="B7" i="5"/>
  <c r="L7" i="2"/>
  <c r="R7" i="2"/>
  <c r="Q46" i="3"/>
  <c r="C13" i="6"/>
  <c r="R45" i="3"/>
  <c r="B7" i="6"/>
  <c r="D31" i="3"/>
  <c r="M46" i="3"/>
  <c r="C22" i="3"/>
  <c r="S7" i="2"/>
  <c r="G11" i="3"/>
  <c r="B11" i="6"/>
  <c r="C16" i="6"/>
  <c r="C28" i="5"/>
  <c r="G12" i="2"/>
  <c r="G6" i="2"/>
  <c r="D17" i="3"/>
  <c r="P45" i="3"/>
  <c r="G22" i="2"/>
  <c r="D29" i="2"/>
  <c r="C8" i="5"/>
  <c r="B21" i="3"/>
  <c r="G16" i="2"/>
  <c r="S46" i="2"/>
  <c r="G21" i="2"/>
  <c r="G16" i="3"/>
  <c r="V7" i="2"/>
  <c r="G13" i="2"/>
  <c r="M45" i="3"/>
  <c r="F8" i="2"/>
  <c r="B11" i="3"/>
  <c r="F20" i="3"/>
  <c r="F30" i="2"/>
  <c r="F22" i="3"/>
  <c r="Q45" i="2"/>
  <c r="N7" i="3"/>
  <c r="E8" i="5" l="1"/>
  <c r="H17" i="2"/>
  <c r="E20" i="6"/>
  <c r="F37" i="3"/>
  <c r="H18" i="3"/>
  <c r="F24" i="3"/>
  <c r="F38" i="3" s="1"/>
  <c r="H16" i="3"/>
  <c r="D36" i="3"/>
  <c r="D14" i="3"/>
  <c r="E10" i="5"/>
  <c r="E29" i="5"/>
  <c r="F36" i="3"/>
  <c r="H6" i="3"/>
  <c r="F14" i="3"/>
  <c r="H22" i="3"/>
  <c r="H16" i="2"/>
  <c r="F24" i="2"/>
  <c r="H12" i="3"/>
  <c r="H31" i="3"/>
  <c r="D24" i="3"/>
  <c r="D38" i="3" s="1"/>
  <c r="H10" i="2"/>
  <c r="H30" i="2"/>
  <c r="E7" i="6"/>
  <c r="E30" i="6"/>
  <c r="H9" i="2"/>
  <c r="H17" i="3"/>
  <c r="E17" i="5"/>
  <c r="C14" i="2"/>
  <c r="C36" i="2"/>
  <c r="G36" i="2"/>
  <c r="G14" i="2"/>
  <c r="H20" i="2"/>
  <c r="E28" i="6"/>
  <c r="H20" i="3"/>
  <c r="E23" i="5"/>
  <c r="P52" i="3"/>
  <c r="M54" i="3"/>
  <c r="R52" i="3"/>
  <c r="P53" i="3"/>
  <c r="O52" i="3"/>
  <c r="M52" i="3"/>
  <c r="L53" i="3"/>
  <c r="T53" i="3"/>
  <c r="Q52" i="3"/>
  <c r="O53" i="3"/>
  <c r="Q53" i="3"/>
  <c r="R54" i="3"/>
  <c r="K53" i="3"/>
  <c r="V52" i="3"/>
  <c r="M53" i="3"/>
  <c r="L54" i="3"/>
  <c r="K52" i="3"/>
  <c r="S52" i="3"/>
  <c r="R53" i="3"/>
  <c r="U52" i="3"/>
  <c r="V54" i="3"/>
  <c r="Q54" i="3"/>
  <c r="S53" i="3"/>
  <c r="O54" i="3"/>
  <c r="T54" i="3"/>
  <c r="S54" i="3"/>
  <c r="V53" i="3"/>
  <c r="P54" i="3"/>
  <c r="K54" i="3"/>
  <c r="L52" i="3"/>
  <c r="T52" i="3"/>
  <c r="N53" i="3"/>
  <c r="N54" i="3"/>
  <c r="U54" i="3"/>
  <c r="U53" i="3"/>
  <c r="N52" i="3"/>
  <c r="G37" i="3"/>
  <c r="E28" i="5"/>
  <c r="C37" i="2"/>
  <c r="C24" i="6"/>
  <c r="E24" i="6" s="1"/>
  <c r="E16" i="6"/>
  <c r="E31" i="5"/>
  <c r="H21" i="3"/>
  <c r="G36" i="3"/>
  <c r="G14" i="3"/>
  <c r="H28" i="2"/>
  <c r="H8" i="2"/>
  <c r="E20" i="5"/>
  <c r="H31" i="2"/>
  <c r="H23" i="2"/>
  <c r="H11" i="2"/>
  <c r="E10" i="6"/>
  <c r="E13" i="6"/>
  <c r="E17" i="6"/>
  <c r="E18" i="5"/>
  <c r="C37" i="5"/>
  <c r="H29" i="3"/>
  <c r="H7" i="2"/>
  <c r="D37" i="3"/>
  <c r="H30" i="3"/>
  <c r="H13" i="2"/>
  <c r="H19" i="2"/>
  <c r="E11" i="5"/>
  <c r="G24" i="3"/>
  <c r="G38" i="3" s="1"/>
  <c r="E9" i="5"/>
  <c r="H6" i="2"/>
  <c r="F36" i="2"/>
  <c r="F14" i="2"/>
  <c r="H14" i="2" s="1"/>
  <c r="E7" i="5"/>
  <c r="E13" i="5"/>
  <c r="C24" i="5"/>
  <c r="E24" i="5" s="1"/>
  <c r="E16" i="5"/>
  <c r="H28" i="3"/>
  <c r="E8" i="6"/>
  <c r="H11" i="3"/>
  <c r="E11" i="6"/>
  <c r="K47" i="2"/>
  <c r="L47" i="2" s="1"/>
  <c r="M47" i="2" s="1"/>
  <c r="N47" i="2" s="1"/>
  <c r="O47" i="2" s="1"/>
  <c r="P47" i="2" s="1"/>
  <c r="Q47" i="2" s="1"/>
  <c r="R47" i="2" s="1"/>
  <c r="S47" i="2" s="1"/>
  <c r="T47" i="2" s="1"/>
  <c r="U47" i="2" s="1"/>
  <c r="V47" i="2" s="1"/>
  <c r="H19" i="3"/>
  <c r="H22" i="2"/>
  <c r="H10" i="3"/>
  <c r="H23" i="3"/>
  <c r="H8" i="3"/>
  <c r="D36" i="2"/>
  <c r="D14" i="2"/>
  <c r="E9" i="6"/>
  <c r="H21" i="2"/>
  <c r="E22" i="6"/>
  <c r="C37" i="3"/>
  <c r="G24" i="2"/>
  <c r="G38" i="2" s="1"/>
  <c r="C24" i="3"/>
  <c r="C38" i="3" s="1"/>
  <c r="C36" i="6"/>
  <c r="E6" i="6"/>
  <c r="C14" i="6"/>
  <c r="E14" i="6" s="1"/>
  <c r="E12" i="5"/>
  <c r="D24" i="2"/>
  <c r="D38" i="2" s="1"/>
  <c r="E29" i="6"/>
  <c r="E19" i="5"/>
  <c r="C36" i="5"/>
  <c r="E6" i="5"/>
  <c r="C14" i="5"/>
  <c r="E14" i="5" s="1"/>
  <c r="C24" i="2"/>
  <c r="C38" i="2" s="1"/>
  <c r="D37" i="2"/>
  <c r="E23" i="6"/>
  <c r="E19" i="6"/>
  <c r="P54" i="2"/>
  <c r="N52" i="2"/>
  <c r="K53" i="2"/>
  <c r="R53" i="2"/>
  <c r="M54" i="2"/>
  <c r="U52" i="2"/>
  <c r="U53" i="2"/>
  <c r="V54" i="2"/>
  <c r="L53" i="2"/>
  <c r="N53" i="2"/>
  <c r="O53" i="2"/>
  <c r="T54" i="2"/>
  <c r="Q52" i="2"/>
  <c r="K54" i="2"/>
  <c r="M52" i="2"/>
  <c r="S52" i="2"/>
  <c r="L52" i="2"/>
  <c r="L54" i="2"/>
  <c r="N54" i="2"/>
  <c r="K52" i="2"/>
  <c r="P53" i="2"/>
  <c r="S53" i="2"/>
  <c r="R52" i="2"/>
  <c r="P52" i="2"/>
  <c r="M53" i="2"/>
  <c r="V52" i="2"/>
  <c r="T52" i="2"/>
  <c r="Q54" i="2"/>
  <c r="R54" i="2"/>
  <c r="U54" i="2"/>
  <c r="V53" i="2"/>
  <c r="O52" i="2"/>
  <c r="O54" i="2"/>
  <c r="S54" i="2"/>
  <c r="Q53" i="2"/>
  <c r="T53" i="2"/>
  <c r="H12" i="2"/>
  <c r="E21" i="5"/>
  <c r="H9" i="3"/>
  <c r="G37" i="2"/>
  <c r="E12" i="6"/>
  <c r="E22" i="5"/>
  <c r="H29" i="2"/>
  <c r="C37" i="6"/>
  <c r="E18" i="6"/>
  <c r="E30" i="5"/>
  <c r="E21" i="6"/>
  <c r="F37" i="2"/>
  <c r="H18" i="2"/>
  <c r="C36" i="3"/>
  <c r="C14" i="3"/>
  <c r="H7" i="3"/>
  <c r="H13" i="3"/>
  <c r="K47" i="3"/>
  <c r="L47" i="3" s="1"/>
  <c r="M47" i="3" s="1"/>
  <c r="N47" i="3" s="1"/>
  <c r="O47" i="3" s="1"/>
  <c r="P47" i="3" s="1"/>
  <c r="Q47" i="3" s="1"/>
  <c r="R47" i="3" s="1"/>
  <c r="S47" i="3" s="1"/>
  <c r="T47" i="3" s="1"/>
  <c r="U47" i="3" s="1"/>
  <c r="V47" i="3" s="1"/>
  <c r="E31" i="6"/>
  <c r="F100" i="1"/>
  <c r="H89" i="1"/>
  <c r="N122" i="1"/>
  <c r="O115" i="1"/>
  <c r="F26" i="3" l="1"/>
  <c r="F32" i="3" s="1"/>
  <c r="F41" i="3" s="1"/>
  <c r="F26" i="2"/>
  <c r="F32" i="2" s="1"/>
  <c r="F38" i="2"/>
  <c r="C26" i="6"/>
  <c r="C32" i="6" s="1"/>
  <c r="C39" i="6" s="1"/>
  <c r="C38" i="5"/>
  <c r="D26" i="2"/>
  <c r="D32" i="2" s="1"/>
  <c r="D39" i="2" s="1"/>
  <c r="G26" i="3"/>
  <c r="G32" i="3" s="1"/>
  <c r="C26" i="3"/>
  <c r="C32" i="3" s="1"/>
  <c r="C39" i="3" s="1"/>
  <c r="C26" i="5"/>
  <c r="C32" i="5" s="1"/>
  <c r="C41" i="5" s="1"/>
  <c r="H14" i="3"/>
  <c r="H24" i="3"/>
  <c r="C38" i="6"/>
  <c r="D26" i="3"/>
  <c r="D32" i="3" s="1"/>
  <c r="D39" i="3" s="1"/>
  <c r="C26" i="2"/>
  <c r="C32" i="2" s="1"/>
  <c r="C39" i="2" s="1"/>
  <c r="G26" i="2"/>
  <c r="G32" i="2" s="1"/>
  <c r="G39" i="2" s="1"/>
  <c r="H24" i="2"/>
  <c r="O122" i="1"/>
  <c r="P115" i="1"/>
  <c r="F107" i="1"/>
  <c r="F109" i="1"/>
  <c r="H100" i="1"/>
  <c r="F39" i="3" l="1"/>
  <c r="E26" i="6"/>
  <c r="E32" i="6"/>
  <c r="H26" i="3"/>
  <c r="C41" i="6"/>
  <c r="H26" i="2"/>
  <c r="E32" i="5"/>
  <c r="E26" i="5"/>
  <c r="C39" i="5"/>
  <c r="F39" i="2"/>
  <c r="F41" i="2"/>
  <c r="H32" i="2"/>
  <c r="G39" i="3"/>
  <c r="H32" i="3"/>
  <c r="P122" i="1"/>
  <c r="Q115" i="1"/>
  <c r="Q122" i="1" l="1"/>
  <c r="R115" i="1"/>
  <c r="R122" i="1" l="1"/>
  <c r="S115" i="1"/>
  <c r="S122" i="1" l="1"/>
  <c r="T115" i="1"/>
  <c r="T122" i="1" l="1"/>
  <c r="U115" i="1"/>
  <c r="U122" i="1" l="1"/>
  <c r="V115" i="1"/>
  <c r="V122" i="1" s="1"/>
</calcChain>
</file>

<file path=xl/sharedStrings.xml><?xml version="1.0" encoding="utf-8"?>
<sst xmlns="http://schemas.openxmlformats.org/spreadsheetml/2006/main" count="289" uniqueCount="69">
  <si>
    <t xml:space="preserve">Resultat </t>
  </si>
  <si>
    <t xml:space="preserve">Denne periode </t>
  </si>
  <si>
    <t>Hittil</t>
  </si>
  <si>
    <t xml:space="preserve">Avvik mot i </t>
  </si>
  <si>
    <t xml:space="preserve">Hittil i år </t>
  </si>
  <si>
    <t>Hittil ifjor</t>
  </si>
  <si>
    <t>fjor hittil</t>
  </si>
  <si>
    <t xml:space="preserve">Salgsinntekter </t>
  </si>
  <si>
    <t>Tilskudd</t>
  </si>
  <si>
    <t xml:space="preserve">Leieinntekter </t>
  </si>
  <si>
    <t>Andre driftsinntekter</t>
  </si>
  <si>
    <t xml:space="preserve">SUM DRIFTSINNTEKT         </t>
  </si>
  <si>
    <t>Vareforbruk</t>
  </si>
  <si>
    <t>Personalkostnader</t>
  </si>
  <si>
    <t>Avskrivninger</t>
  </si>
  <si>
    <t>Andre kostnader</t>
  </si>
  <si>
    <t xml:space="preserve">SUM DRIFTSKOSTNAD      </t>
  </si>
  <si>
    <t xml:space="preserve">DRIFTSRESULTAT                    </t>
  </si>
  <si>
    <t>Finansinntekter</t>
  </si>
  <si>
    <t>Periode ifjor</t>
  </si>
  <si>
    <t>Finanskostnader</t>
  </si>
  <si>
    <t xml:space="preserve">RESULTAT FØR SKATT                  </t>
  </si>
  <si>
    <t xml:space="preserve">Totalkapital </t>
  </si>
  <si>
    <t>Nøkkeltall</t>
  </si>
  <si>
    <t>Denne periode</t>
  </si>
  <si>
    <t>Hittil i år</t>
  </si>
  <si>
    <t xml:space="preserve">Bruttofortjeneste i % </t>
  </si>
  <si>
    <t>Lønns%</t>
  </si>
  <si>
    <t>Driftskostnad i %</t>
  </si>
  <si>
    <t>Overskuddsgrad</t>
  </si>
  <si>
    <t>Total rentabilitet</t>
  </si>
  <si>
    <t xml:space="preserve">Egenkap.rentabilitet </t>
  </si>
  <si>
    <t>Resultatutvikling</t>
  </si>
  <si>
    <t>Jan</t>
  </si>
  <si>
    <t>Feb</t>
  </si>
  <si>
    <t>Mar</t>
  </si>
  <si>
    <t>Apr</t>
  </si>
  <si>
    <t>Mai</t>
  </si>
  <si>
    <t>Jun</t>
  </si>
  <si>
    <t>Jul</t>
  </si>
  <si>
    <t>Aug</t>
  </si>
  <si>
    <t>Sep</t>
  </si>
  <si>
    <t>Okt</t>
  </si>
  <si>
    <t>Nov</t>
  </si>
  <si>
    <t>Des</t>
  </si>
  <si>
    <t>Resultat i år</t>
  </si>
  <si>
    <t>Resultat i fjor</t>
  </si>
  <si>
    <t>Akkumulert avvik mot i fjor</t>
  </si>
  <si>
    <t>Regnskap i år</t>
  </si>
  <si>
    <t>Regnskap i fjor</t>
  </si>
  <si>
    <t>Akk.avvik mot i fjor</t>
  </si>
  <si>
    <t xml:space="preserve">I år </t>
  </si>
  <si>
    <t>I fjor</t>
  </si>
  <si>
    <t>Resultatregnskap</t>
  </si>
  <si>
    <t xml:space="preserve">Resultatregnskap per avdeling </t>
  </si>
  <si>
    <t>Total alle avd</t>
  </si>
  <si>
    <t>Hemsedal Idrettslag</t>
  </si>
  <si>
    <t>Orientering</t>
  </si>
  <si>
    <t>Resultatregnskap orientering</t>
  </si>
  <si>
    <t>3402 - Fordeling kulturmidler, LAM, mva</t>
  </si>
  <si>
    <t>3440 - Tilskudd fra forbund/krets</t>
  </si>
  <si>
    <t>Regnskap 2018</t>
  </si>
  <si>
    <t>Budsjett 2019</t>
  </si>
  <si>
    <t>Regnskap 2019</t>
  </si>
  <si>
    <t>Budsjett 2020</t>
  </si>
  <si>
    <t>6730 - Idrettsfaglig bistand</t>
  </si>
  <si>
    <t>7090 - Annen kostnad transportmiddel 1</t>
  </si>
  <si>
    <t>7790 - Annen kostnad m/fradrag</t>
  </si>
  <si>
    <t>Bankinnskudd per 01.01.2020: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</si>
</sst>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&quot;kr&quot;\ * #,##0.00_ ;_ &quot;kr&quot;\ * \-#,##0.00_ ;_ &quot;kr&quot;\ * &quot;-&quot;??_ ;_ @_ "/>
    <numFmt numFmtId="165" formatCode="_(* #,##0.00_);_(* \(#,##0.00\);_(* &quot;-&quot;??_);_(@_)"/>
    <numFmt numFmtId="166" formatCode="mmmm/yyyy"/>
    <numFmt numFmtId="167" formatCode="mmmm/yy"/>
    <numFmt numFmtId="168" formatCode="_ * #,##0_ ;_ * \-#,##0_ ;_ * &quot;-&quot;??_ ;_ @_ "/>
    <numFmt numFmtId="169" formatCode="dd/mm/yy_)"/>
    <numFmt numFmtId="170" formatCode="dd/mm/yy"/>
    <numFmt numFmtId="171" formatCode="_ &quot;kr&quot;\ * #,##0_ ;_ &quot;kr&quot;\ * \-#,##0_ ;_ &quot;kr&quot;\ * &quot;-&quot;??_ ;_ @_ "/>
  </numFmts>
  <fonts count="2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NewRomanPS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 tint="-0.14996795556505021"/>
      <name val="Calibri"/>
      <family val="2"/>
      <scheme val="minor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16365C"/>
      <name val="Calibri"/>
      <family val="2"/>
      <scheme val="minor"/>
    </font>
    <font>
      <b/>
      <sz val="12"/>
      <color theme="0"/>
      <name val="Verdana"/>
      <family val="2"/>
    </font>
    <font>
      <sz val="16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u/>
      <sz val="16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77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8">
    <xf numFmtId="0" fontId="0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0" fontId="2" fillId="0" borderId="1">
      <alignment horizontal="left"/>
    </xf>
    <xf numFmtId="164" fontId="24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/>
    <xf numFmtId="0" fontId="4" fillId="0" borderId="0" xfId="0" applyFont="1"/>
    <xf numFmtId="168" fontId="5" fillId="2" borderId="2" xfId="1" applyNumberFormat="1" applyFont="1" applyFill="1" applyBorder="1"/>
    <xf numFmtId="168" fontId="6" fillId="2" borderId="2" xfId="1" applyNumberFormat="1" applyFont="1" applyFill="1" applyBorder="1"/>
    <xf numFmtId="0" fontId="7" fillId="0" borderId="0" xfId="0" applyFont="1"/>
    <xf numFmtId="0" fontId="8" fillId="0" borderId="0" xfId="0" applyFont="1"/>
    <xf numFmtId="168" fontId="9" fillId="2" borderId="3" xfId="1" applyNumberFormat="1" applyFont="1" applyFill="1" applyBorder="1"/>
    <xf numFmtId="0" fontId="10" fillId="0" borderId="0" xfId="0" applyFont="1"/>
    <xf numFmtId="0" fontId="6" fillId="3" borderId="4" xfId="0" applyFont="1" applyFill="1" applyBorder="1" applyAlignment="1">
      <alignment horizontal="left"/>
    </xf>
    <xf numFmtId="0" fontId="9" fillId="3" borderId="4" xfId="0" applyFont="1" applyFill="1" applyBorder="1" applyAlignment="1">
      <alignment horizontal="left"/>
    </xf>
    <xf numFmtId="9" fontId="7" fillId="2" borderId="2" xfId="0" applyNumberFormat="1" applyFont="1" applyFill="1" applyBorder="1"/>
    <xf numFmtId="0" fontId="11" fillId="0" borderId="0" xfId="0" applyFont="1" applyAlignment="1">
      <alignment horizontal="center"/>
    </xf>
    <xf numFmtId="0" fontId="12" fillId="4" borderId="5" xfId="0" applyFont="1" applyFill="1" applyBorder="1" applyAlignment="1">
      <alignment horizontal="center" wrapText="1"/>
    </xf>
    <xf numFmtId="3" fontId="11" fillId="0" borderId="0" xfId="0" applyNumberFormat="1" applyFont="1"/>
    <xf numFmtId="0" fontId="11" fillId="0" borderId="0" xfId="0" applyFont="1" applyAlignment="1">
      <alignment vertical="center"/>
    </xf>
    <xf numFmtId="168" fontId="5" fillId="3" borderId="0" xfId="13" applyNumberFormat="1" applyFont="1" applyFill="1" applyBorder="1"/>
    <xf numFmtId="168" fontId="5" fillId="2" borderId="4" xfId="13" applyNumberFormat="1" applyFont="1" applyFill="1" applyBorder="1"/>
    <xf numFmtId="168" fontId="5" fillId="2" borderId="0" xfId="13" applyNumberFormat="1" applyFont="1" applyFill="1" applyBorder="1"/>
    <xf numFmtId="168" fontId="5" fillId="5" borderId="0" xfId="13" applyNumberFormat="1" applyFont="1" applyFill="1" applyBorder="1"/>
    <xf numFmtId="168" fontId="5" fillId="2" borderId="6" xfId="13" applyNumberFormat="1" applyFont="1" applyFill="1" applyBorder="1"/>
    <xf numFmtId="168" fontId="6" fillId="5" borderId="0" xfId="13" applyNumberFormat="1" applyFont="1" applyFill="1" applyBorder="1"/>
    <xf numFmtId="168" fontId="6" fillId="2" borderId="4" xfId="13" applyNumberFormat="1" applyFont="1" applyFill="1" applyBorder="1"/>
    <xf numFmtId="168" fontId="6" fillId="2" borderId="0" xfId="13" applyNumberFormat="1" applyFont="1" applyFill="1" applyBorder="1"/>
    <xf numFmtId="168" fontId="6" fillId="3" borderId="0" xfId="13" applyNumberFormat="1" applyFont="1" applyFill="1" applyBorder="1"/>
    <xf numFmtId="168" fontId="6" fillId="2" borderId="6" xfId="13" applyNumberFormat="1" applyFont="1" applyFill="1" applyBorder="1"/>
    <xf numFmtId="9" fontId="7" fillId="2" borderId="7" xfId="0" applyNumberFormat="1" applyFont="1" applyFill="1" applyBorder="1"/>
    <xf numFmtId="0" fontId="13" fillId="4" borderId="8" xfId="0" applyFont="1" applyFill="1" applyBorder="1" applyAlignment="1">
      <alignment horizontal="center" wrapText="1"/>
    </xf>
    <xf numFmtId="168" fontId="5" fillId="2" borderId="9" xfId="1" applyNumberFormat="1" applyFont="1" applyFill="1" applyBorder="1"/>
    <xf numFmtId="0" fontId="14" fillId="0" borderId="0" xfId="0" applyFont="1"/>
    <xf numFmtId="168" fontId="9" fillId="2" borderId="10" xfId="1" applyNumberFormat="1" applyFont="1" applyFill="1" applyBorder="1"/>
    <xf numFmtId="9" fontId="15" fillId="2" borderId="7" xfId="0" applyNumberFormat="1" applyFont="1" applyFill="1" applyBorder="1"/>
    <xf numFmtId="168" fontId="9" fillId="3" borderId="0" xfId="13" applyNumberFormat="1" applyFont="1" applyFill="1" applyBorder="1"/>
    <xf numFmtId="0" fontId="9" fillId="3" borderId="11" xfId="0" applyFont="1" applyFill="1" applyBorder="1" applyAlignment="1">
      <alignment horizontal="left"/>
    </xf>
    <xf numFmtId="0" fontId="16" fillId="0" borderId="0" xfId="0" applyFont="1" applyFill="1" applyBorder="1"/>
    <xf numFmtId="0" fontId="17" fillId="0" borderId="0" xfId="0" applyFont="1"/>
    <xf numFmtId="0" fontId="5" fillId="3" borderId="4" xfId="0" applyFont="1" applyFill="1" applyBorder="1"/>
    <xf numFmtId="0" fontId="8" fillId="3" borderId="2" xfId="0" applyFont="1" applyFill="1" applyBorder="1"/>
    <xf numFmtId="0" fontId="18" fillId="0" borderId="0" xfId="0" applyFont="1"/>
    <xf numFmtId="0" fontId="8" fillId="3" borderId="7" xfId="0" applyFont="1" applyFill="1" applyBorder="1"/>
    <xf numFmtId="168" fontId="9" fillId="5" borderId="12" xfId="13" applyNumberFormat="1" applyFont="1" applyFill="1" applyBorder="1"/>
    <xf numFmtId="168" fontId="9" fillId="2" borderId="12" xfId="13" applyNumberFormat="1" applyFont="1" applyFill="1" applyBorder="1"/>
    <xf numFmtId="168" fontId="9" fillId="5" borderId="13" xfId="13" applyNumberFormat="1" applyFont="1" applyFill="1" applyBorder="1"/>
    <xf numFmtId="0" fontId="11" fillId="0" borderId="0" xfId="0" applyFont="1"/>
    <xf numFmtId="168" fontId="5" fillId="5" borderId="6" xfId="13" applyNumberFormat="1" applyFont="1" applyFill="1" applyBorder="1"/>
    <xf numFmtId="168" fontId="9" fillId="2" borderId="11" xfId="13" applyNumberFormat="1" applyFont="1" applyFill="1" applyBorder="1"/>
    <xf numFmtId="9" fontId="5" fillId="5" borderId="2" xfId="15" applyFont="1" applyFill="1" applyBorder="1"/>
    <xf numFmtId="9" fontId="5" fillId="5" borderId="7" xfId="15" applyFont="1" applyFill="1" applyBorder="1"/>
    <xf numFmtId="0" fontId="9" fillId="3" borderId="15" xfId="0" applyFont="1" applyFill="1" applyBorder="1" applyAlignment="1">
      <alignment horizontal="left"/>
    </xf>
    <xf numFmtId="166" fontId="19" fillId="0" borderId="0" xfId="0" applyNumberFormat="1" applyFont="1" applyBorder="1"/>
    <xf numFmtId="0" fontId="11" fillId="4" borderId="14" xfId="0" applyFont="1" applyFill="1" applyBorder="1"/>
    <xf numFmtId="9" fontId="5" fillId="5" borderId="6" xfId="15" applyFont="1" applyFill="1" applyBorder="1"/>
    <xf numFmtId="0" fontId="7" fillId="4" borderId="14" xfId="0" applyFont="1" applyFill="1" applyBorder="1"/>
    <xf numFmtId="166" fontId="0" fillId="0" borderId="0" xfId="0" applyNumberFormat="1" applyBorder="1"/>
    <xf numFmtId="9" fontId="5" fillId="5" borderId="5" xfId="15" applyFont="1" applyFill="1" applyBorder="1"/>
    <xf numFmtId="168" fontId="9" fillId="2" borderId="13" xfId="13" applyNumberFormat="1" applyFont="1" applyFill="1" applyBorder="1"/>
    <xf numFmtId="0" fontId="20" fillId="4" borderId="11" xfId="0" applyFont="1" applyFill="1" applyBorder="1" applyAlignment="1">
      <alignment horizontal="center"/>
    </xf>
    <xf numFmtId="0" fontId="19" fillId="0" borderId="0" xfId="16" applyFont="1" applyFill="1" applyBorder="1">
      <alignment horizontal="left"/>
    </xf>
    <xf numFmtId="168" fontId="9" fillId="3" borderId="17" xfId="13" applyNumberFormat="1" applyFont="1" applyFill="1" applyBorder="1"/>
    <xf numFmtId="0" fontId="11" fillId="0" borderId="0" xfId="0" applyFont="1" applyBorder="1"/>
    <xf numFmtId="169" fontId="20" fillId="4" borderId="14" xfId="0" applyNumberFormat="1" applyFont="1" applyFill="1" applyBorder="1" applyAlignment="1" applyProtection="1">
      <alignment horizontal="right"/>
    </xf>
    <xf numFmtId="0" fontId="13" fillId="4" borderId="0" xfId="0" applyFont="1" applyFill="1" applyBorder="1" applyAlignment="1">
      <alignment horizontal="center" wrapText="1"/>
    </xf>
    <xf numFmtId="0" fontId="0" fillId="0" borderId="0" xfId="0" applyBorder="1"/>
    <xf numFmtId="0" fontId="21" fillId="0" borderId="0" xfId="0" applyFont="1" applyBorder="1"/>
    <xf numFmtId="0" fontId="12" fillId="4" borderId="0" xfId="0" applyFont="1" applyFill="1" applyBorder="1" applyAlignment="1">
      <alignment horizontal="center" wrapText="1"/>
    </xf>
    <xf numFmtId="168" fontId="9" fillId="2" borderId="15" xfId="13" applyNumberFormat="1" applyFont="1" applyFill="1" applyBorder="1"/>
    <xf numFmtId="0" fontId="22" fillId="3" borderId="0" xfId="0" applyFont="1" applyFill="1" applyBorder="1" applyAlignment="1">
      <alignment horizontal="center" wrapText="1"/>
    </xf>
    <xf numFmtId="168" fontId="6" fillId="2" borderId="13" xfId="13" applyNumberFormat="1" applyFont="1" applyFill="1" applyBorder="1"/>
    <xf numFmtId="9" fontId="15" fillId="2" borderId="2" xfId="0" applyNumberFormat="1" applyFont="1" applyFill="1" applyBorder="1"/>
    <xf numFmtId="0" fontId="20" fillId="4" borderId="16" xfId="0" applyFont="1" applyFill="1" applyBorder="1" applyAlignment="1">
      <alignment horizontal="left"/>
    </xf>
    <xf numFmtId="167" fontId="13" fillId="4" borderId="0" xfId="0" applyNumberFormat="1" applyFont="1" applyFill="1" applyBorder="1" applyAlignment="1">
      <alignment horizontal="center" wrapText="1"/>
    </xf>
    <xf numFmtId="167" fontId="13" fillId="4" borderId="6" xfId="0" applyNumberFormat="1" applyFont="1" applyFill="1" applyBorder="1" applyAlignment="1">
      <alignment horizontal="center" wrapText="1"/>
    </xf>
    <xf numFmtId="9" fontId="7" fillId="2" borderId="0" xfId="0" applyNumberFormat="1" applyFont="1" applyFill="1" applyBorder="1"/>
    <xf numFmtId="170" fontId="19" fillId="0" borderId="0" xfId="0" applyNumberFormat="1" applyFont="1" applyBorder="1" applyAlignment="1">
      <alignment horizontal="left"/>
    </xf>
    <xf numFmtId="0" fontId="22" fillId="0" borderId="0" xfId="0" applyFont="1"/>
    <xf numFmtId="168" fontId="9" fillId="5" borderId="19" xfId="13" applyNumberFormat="1" applyFont="1" applyFill="1" applyBorder="1"/>
    <xf numFmtId="0" fontId="13" fillId="4" borderId="6" xfId="0" applyFont="1" applyFill="1" applyBorder="1" applyAlignment="1">
      <alignment horizontal="left" wrapText="1"/>
    </xf>
    <xf numFmtId="0" fontId="13" fillId="4" borderId="4" xfId="0" applyFont="1" applyFill="1" applyBorder="1" applyAlignment="1">
      <alignment horizontal="center" wrapText="1"/>
    </xf>
    <xf numFmtId="9" fontId="0" fillId="2" borderId="7" xfId="0" applyNumberFormat="1" applyFill="1" applyBorder="1"/>
    <xf numFmtId="0" fontId="23" fillId="0" borderId="0" xfId="16" applyFont="1" applyFill="1" applyBorder="1">
      <alignment horizontal="left"/>
    </xf>
    <xf numFmtId="0" fontId="9" fillId="3" borderId="16" xfId="0" applyFont="1" applyFill="1" applyBorder="1" applyAlignment="1">
      <alignment horizontal="left"/>
    </xf>
    <xf numFmtId="168" fontId="9" fillId="2" borderId="19" xfId="13" applyNumberFormat="1" applyFont="1" applyFill="1" applyBorder="1"/>
    <xf numFmtId="0" fontId="13" fillId="3" borderId="0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left" wrapText="1"/>
    </xf>
    <xf numFmtId="168" fontId="9" fillId="5" borderId="20" xfId="13" applyNumberFormat="1" applyFont="1" applyFill="1" applyBorder="1"/>
    <xf numFmtId="9" fontId="15" fillId="2" borderId="0" xfId="0" applyNumberFormat="1" applyFont="1" applyFill="1" applyBorder="1"/>
    <xf numFmtId="169" fontId="20" fillId="4" borderId="14" xfId="0" applyNumberFormat="1" applyFont="1" applyFill="1" applyBorder="1" applyAlignment="1" applyProtection="1">
      <alignment horizontal="center"/>
    </xf>
    <xf numFmtId="168" fontId="9" fillId="5" borderId="6" xfId="13" applyNumberFormat="1" applyFont="1" applyFill="1" applyBorder="1"/>
    <xf numFmtId="168" fontId="9" fillId="2" borderId="20" xfId="13" applyNumberFormat="1" applyFont="1" applyFill="1" applyBorder="1"/>
    <xf numFmtId="9" fontId="0" fillId="2" borderId="2" xfId="0" applyNumberFormat="1" applyFill="1" applyBorder="1"/>
    <xf numFmtId="171" fontId="24" fillId="0" borderId="2" xfId="17" applyNumberFormat="1" applyFont="1" applyBorder="1"/>
    <xf numFmtId="171" fontId="24" fillId="3" borderId="2" xfId="17" applyNumberFormat="1" applyFont="1" applyFill="1" applyBorder="1"/>
    <xf numFmtId="171" fontId="5" fillId="3" borderId="2" xfId="17" applyNumberFormat="1" applyFont="1" applyFill="1" applyBorder="1"/>
    <xf numFmtId="171" fontId="8" fillId="3" borderId="2" xfId="17" applyNumberFormat="1" applyFont="1" applyFill="1" applyBorder="1"/>
    <xf numFmtId="171" fontId="6" fillId="3" borderId="2" xfId="17" applyNumberFormat="1" applyFont="1" applyFill="1" applyBorder="1"/>
    <xf numFmtId="171" fontId="10" fillId="3" borderId="2" xfId="17" applyNumberFormat="1" applyFont="1" applyFill="1" applyBorder="1"/>
    <xf numFmtId="171" fontId="8" fillId="6" borderId="2" xfId="17" applyNumberFormat="1" applyFont="1" applyFill="1" applyBorder="1"/>
    <xf numFmtId="171" fontId="8" fillId="6" borderId="3" xfId="17" applyNumberFormat="1" applyFont="1" applyFill="1" applyBorder="1"/>
    <xf numFmtId="171" fontId="8" fillId="6" borderId="10" xfId="17" applyNumberFormat="1" applyFont="1" applyFill="1" applyBorder="1"/>
    <xf numFmtId="0" fontId="13" fillId="4" borderId="9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8" fillId="7" borderId="11" xfId="0" applyFont="1" applyFill="1" applyBorder="1"/>
    <xf numFmtId="164" fontId="8" fillId="7" borderId="3" xfId="17" applyFont="1" applyFill="1" applyBorder="1"/>
    <xf numFmtId="171" fontId="10" fillId="0" borderId="2" xfId="0" applyNumberFormat="1" applyFont="1" applyBorder="1"/>
    <xf numFmtId="171" fontId="10" fillId="3" borderId="2" xfId="0" applyNumberFormat="1" applyFont="1" applyFill="1" applyBorder="1"/>
    <xf numFmtId="171" fontId="8" fillId="6" borderId="2" xfId="0" applyNumberFormat="1" applyFont="1" applyFill="1" applyBorder="1"/>
    <xf numFmtId="171" fontId="8" fillId="3" borderId="2" xfId="0" applyNumberFormat="1" applyFont="1" applyFill="1" applyBorder="1"/>
    <xf numFmtId="171" fontId="8" fillId="6" borderId="3" xfId="0" applyNumberFormat="1" applyFont="1" applyFill="1" applyBorder="1"/>
    <xf numFmtId="164" fontId="0" fillId="3" borderId="2" xfId="17" applyFont="1" applyFill="1" applyBorder="1"/>
    <xf numFmtId="171" fontId="0" fillId="3" borderId="2" xfId="17" applyNumberFormat="1" applyFont="1" applyFill="1" applyBorder="1"/>
    <xf numFmtId="0" fontId="0" fillId="0" borderId="0" xfId="0" applyAlignment="1">
      <alignment horizontal="center"/>
    </xf>
    <xf numFmtId="170" fontId="19" fillId="0" borderId="0" xfId="0" applyNumberFormat="1" applyFont="1" applyAlignment="1">
      <alignment horizontal="right"/>
    </xf>
    <xf numFmtId="0" fontId="20" fillId="4" borderId="16" xfId="0" applyFont="1" applyFill="1" applyBorder="1" applyAlignment="1">
      <alignment horizontal="center"/>
    </xf>
    <xf numFmtId="0" fontId="20" fillId="4" borderId="4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3" fillId="4" borderId="16" xfId="0" applyFont="1" applyFill="1" applyBorder="1" applyAlignment="1">
      <alignment horizontal="center" wrapText="1"/>
    </xf>
    <xf numFmtId="0" fontId="13" fillId="4" borderId="12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13" fillId="4" borderId="14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20" fillId="4" borderId="18" xfId="0" applyFont="1" applyFill="1" applyBorder="1" applyAlignment="1">
      <alignment horizontal="center"/>
    </xf>
  </cellXfs>
  <cellStyles count="18">
    <cellStyle name="Komma" xfId="1" builtinId="3"/>
    <cellStyle name="Komma 2" xfId="2" xr:uid="{00000000-0005-0000-0000-000001000000}"/>
    <cellStyle name="Komma 2 2" xfId="3" xr:uid="{00000000-0005-0000-0000-000002000000}"/>
    <cellStyle name="Komma 2 3" xfId="4" xr:uid="{00000000-0005-0000-0000-000003000000}"/>
    <cellStyle name="Komma 3" xfId="5" xr:uid="{00000000-0005-0000-0000-000004000000}"/>
    <cellStyle name="Komma 3 2" xfId="6" xr:uid="{00000000-0005-0000-0000-000005000000}"/>
    <cellStyle name="Komma 3 3" xfId="7" xr:uid="{00000000-0005-0000-0000-000006000000}"/>
    <cellStyle name="Komma 4" xfId="8" xr:uid="{00000000-0005-0000-0000-000007000000}"/>
    <cellStyle name="Komma 4 2" xfId="9" xr:uid="{00000000-0005-0000-0000-000008000000}"/>
    <cellStyle name="Komma 5" xfId="10" xr:uid="{00000000-0005-0000-0000-000009000000}"/>
    <cellStyle name="Komma 5 2" xfId="11" xr:uid="{00000000-0005-0000-0000-00000A000000}"/>
    <cellStyle name="Komma 6" xfId="12" xr:uid="{00000000-0005-0000-0000-00000B000000}"/>
    <cellStyle name="Komma 7" xfId="13" xr:uid="{00000000-0005-0000-0000-00000C000000}"/>
    <cellStyle name="Normal" xfId="0" builtinId="0"/>
    <cellStyle name="Normal 2 2" xfId="14" xr:uid="{00000000-0005-0000-0000-00000E000000}"/>
    <cellStyle name="Prosent" xfId="15" builtinId="5"/>
    <cellStyle name="R" xfId="16" xr:uid="{00000000-0005-0000-0000-000010000000}"/>
    <cellStyle name="Valuta" xfId="17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nb-NO" sz="1400" b="0">
                <a:latin typeface="+mn-lt"/>
              </a:rPr>
              <a:t>Resultatutvikling</a:t>
            </a:r>
          </a:p>
        </c:rich>
      </c:tx>
      <c:layout>
        <c:manualLayout>
          <c:xMode val="edge"/>
          <c:yMode val="edge"/>
          <c:x val="0.40786341483702632"/>
          <c:y val="1.6684044054634334E-2"/>
        </c:manualLayout>
      </c:layout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Resultatrapport!$J$120</c:f>
              <c:strCache>
                <c:ptCount val="1"/>
                <c:pt idx="0">
                  <c:v>Regnskap i år</c:v>
                </c:pt>
              </c:strCache>
            </c:strRef>
          </c:tx>
          <c:invertIfNegative val="0"/>
          <c:cat>
            <c:strRef>
              <c:f>Resultatrapport!$K$119:$V$119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Resultatrapport!$K$120:$V$120</c:f>
              <c:numCache>
                <c:formatCode>#,##0</c:formatCode>
                <c:ptCount val="12"/>
                <c:pt idx="0">
                  <c:v>-46676.18</c:v>
                </c:pt>
                <c:pt idx="1">
                  <c:v>-49803.99</c:v>
                </c:pt>
                <c:pt idx="2">
                  <c:v>-83721.63</c:v>
                </c:pt>
                <c:pt idx="3">
                  <c:v>229548.75</c:v>
                </c:pt>
                <c:pt idx="4">
                  <c:v>-505016.27</c:v>
                </c:pt>
                <c:pt idx="5">
                  <c:v>1814306.72</c:v>
                </c:pt>
                <c:pt idx="6">
                  <c:v>15675.62</c:v>
                </c:pt>
                <c:pt idx="7">
                  <c:v>156057.78</c:v>
                </c:pt>
                <c:pt idx="8">
                  <c:v>93328.24</c:v>
                </c:pt>
                <c:pt idx="9">
                  <c:v>-124857.24</c:v>
                </c:pt>
                <c:pt idx="10">
                  <c:v>81536.56</c:v>
                </c:pt>
                <c:pt idx="11">
                  <c:v>57601.77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81-4ECA-8616-96B52AA121D9}"/>
            </c:ext>
          </c:extLst>
        </c:ser>
        <c:ser>
          <c:idx val="0"/>
          <c:order val="1"/>
          <c:tx>
            <c:strRef>
              <c:f>Resultatrapport!$J$121</c:f>
              <c:strCache>
                <c:ptCount val="1"/>
                <c:pt idx="0">
                  <c:v>Regnskap i fjor</c:v>
                </c:pt>
              </c:strCache>
            </c:strRef>
          </c:tx>
          <c:invertIfNegative val="0"/>
          <c:cat>
            <c:strRef>
              <c:f>Resultatrapport!$K$119:$V$119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Resultatrapport!$K$121:$V$121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-4960826.33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81-4ECA-8616-96B52AA1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2899808"/>
        <c:axId val="322897848"/>
      </c:barChart>
      <c:lineChart>
        <c:grouping val="standard"/>
        <c:varyColors val="0"/>
        <c:ser>
          <c:idx val="2"/>
          <c:order val="2"/>
          <c:tx>
            <c:strRef>
              <c:f>Resultatrapport!$J$122</c:f>
              <c:strCache>
                <c:ptCount val="1"/>
                <c:pt idx="0">
                  <c:v>Akk.avvik mot i fjor</c:v>
                </c:pt>
              </c:strCache>
            </c:strRef>
          </c:tx>
          <c:marker>
            <c:symbol val="none"/>
          </c:marker>
          <c:cat>
            <c:strRef>
              <c:f>Resultatrapport!$K$119:$V$119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Resultatrapport!$K$122:$V$122</c:f>
              <c:numCache>
                <c:formatCode>#,##0</c:formatCode>
                <c:ptCount val="12"/>
                <c:pt idx="0">
                  <c:v>-46676.18</c:v>
                </c:pt>
                <c:pt idx="1">
                  <c:v>-96480.17</c:v>
                </c:pt>
                <c:pt idx="2">
                  <c:v>-180201.8</c:v>
                </c:pt>
                <c:pt idx="3">
                  <c:v>49346.950000000012</c:v>
                </c:pt>
                <c:pt idx="4">
                  <c:v>-455669.32</c:v>
                </c:pt>
                <c:pt idx="5">
                  <c:v>1358637.4</c:v>
                </c:pt>
                <c:pt idx="6">
                  <c:v>1374313.02</c:v>
                </c:pt>
                <c:pt idx="7">
                  <c:v>1530370.8</c:v>
                </c:pt>
                <c:pt idx="8">
                  <c:v>1623699.04</c:v>
                </c:pt>
                <c:pt idx="9">
                  <c:v>1498841.8</c:v>
                </c:pt>
                <c:pt idx="10">
                  <c:v>1580378.36</c:v>
                </c:pt>
                <c:pt idx="11">
                  <c:v>6598806.46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81-4ECA-8616-96B52AA1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99808"/>
        <c:axId val="322897848"/>
      </c:lineChart>
      <c:catAx>
        <c:axId val="3228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latin typeface="+mn-lt"/>
              </a:defRPr>
            </a:pPr>
            <a:endParaRPr lang="nb-NO"/>
          </a:p>
        </c:txPr>
        <c:crossAx val="322897848"/>
        <c:crosses val="autoZero"/>
        <c:auto val="1"/>
        <c:lblAlgn val="ctr"/>
        <c:lblOffset val="100"/>
        <c:noMultiLvlLbl val="1"/>
      </c:catAx>
      <c:valAx>
        <c:axId val="322897848"/>
        <c:scaling>
          <c:orientation val="minMax"/>
        </c:scaling>
        <c:delete val="0"/>
        <c:axPos val="l"/>
        <c:majorGridlines>
          <c:spPr>
            <a:ln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+mn-lt"/>
              </a:defRPr>
            </a:pPr>
            <a:endParaRPr lang="nb-NO"/>
          </a:p>
        </c:txPr>
        <c:crossAx val="322899808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>
              <a:latin typeface="+mn-lt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lt1"/>
    </a:solidFill>
    <a:ln>
      <a:solidFill>
        <a:schemeClr val="dk1">
          <a:lumMod val="15000"/>
          <a:lumOff val="85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nb-NO" sz="1400" b="0">
                <a:latin typeface="+mn-lt"/>
              </a:rPr>
              <a:t>Resultatutvikling</a:t>
            </a:r>
          </a:p>
        </c:rich>
      </c:tx>
      <c:layout>
        <c:manualLayout>
          <c:xMode val="edge"/>
          <c:yMode val="edge"/>
          <c:x val="0.40786341483702632"/>
          <c:y val="1.6684044054634334E-2"/>
        </c:manualLayout>
      </c:layout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OSR_Resultatrapport_1UEKYZN!$J$52</c:f>
              <c:strCache>
                <c:ptCount val="1"/>
                <c:pt idx="0">
                  <c:v>Regnskap i år</c:v>
                </c:pt>
              </c:strCache>
            </c:strRef>
          </c:tx>
          <c:invertIfNegative val="0"/>
          <c:cat>
            <c:strRef>
              <c:f>OSR_Resultatrapport_1UEKYZN!$K$51:$V$51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OSR_Resultatrapport_1UEKYZN!$K$52:$V$52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0-48DD-A7B5-81677149BCD0}"/>
            </c:ext>
          </c:extLst>
        </c:ser>
        <c:ser>
          <c:idx val="0"/>
          <c:order val="1"/>
          <c:tx>
            <c:strRef>
              <c:f>OSR_Resultatrapport_1UEKYZN!$J$53</c:f>
              <c:strCache>
                <c:ptCount val="1"/>
                <c:pt idx="0">
                  <c:v>Regnskap i fjor</c:v>
                </c:pt>
              </c:strCache>
            </c:strRef>
          </c:tx>
          <c:invertIfNegative val="0"/>
          <c:cat>
            <c:strRef>
              <c:f>OSR_Resultatrapport_1UEKYZN!$K$51:$V$51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OSR_Resultatrapport_1UEKYZN!$K$53:$V$53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0-48DD-A7B5-81677149B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2896280"/>
        <c:axId val="322900200"/>
      </c:barChart>
      <c:lineChart>
        <c:grouping val="standard"/>
        <c:varyColors val="0"/>
        <c:ser>
          <c:idx val="2"/>
          <c:order val="2"/>
          <c:tx>
            <c:strRef>
              <c:f>OSR_Resultatrapport_1UEKYZN!$J$54</c:f>
              <c:strCache>
                <c:ptCount val="1"/>
                <c:pt idx="0">
                  <c:v>Akk.avvik mot i fjor</c:v>
                </c:pt>
              </c:strCache>
            </c:strRef>
          </c:tx>
          <c:marker>
            <c:symbol val="none"/>
          </c:marker>
          <c:cat>
            <c:strRef>
              <c:f>OSR_Resultatrapport_1UEKYZN!$K$51:$V$51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OSR_Resultatrapport_1UEKYZN!$K$54:$V$54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0-48DD-A7B5-81677149B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96280"/>
        <c:axId val="322900200"/>
      </c:lineChart>
      <c:catAx>
        <c:axId val="322896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latin typeface="+mn-lt"/>
              </a:defRPr>
            </a:pPr>
            <a:endParaRPr lang="nb-NO"/>
          </a:p>
        </c:txPr>
        <c:crossAx val="322900200"/>
        <c:crosses val="autoZero"/>
        <c:auto val="1"/>
        <c:lblAlgn val="ctr"/>
        <c:lblOffset val="100"/>
        <c:noMultiLvlLbl val="1"/>
      </c:catAx>
      <c:valAx>
        <c:axId val="322900200"/>
        <c:scaling>
          <c:orientation val="minMax"/>
        </c:scaling>
        <c:delete val="0"/>
        <c:axPos val="l"/>
        <c:majorGridlines>
          <c:spPr>
            <a:ln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+mn-lt"/>
              </a:defRPr>
            </a:pPr>
            <a:endParaRPr lang="nb-NO"/>
          </a:p>
        </c:txPr>
        <c:crossAx val="32289628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>
              <a:latin typeface="+mn-lt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lt1"/>
    </a:solidFill>
    <a:ln>
      <a:solidFill>
        <a:schemeClr val="dk1">
          <a:lumMod val="15000"/>
          <a:lumOff val="85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c:style val="2"/>
  <c:chart>
    <c:title>
      <c:tx>
        <c:rich>
          <a:bodyPr/>
          <a:lstStyle/>
          <a:p>
            <a:pPr>
              <a:defRPr/>
            </a:pPr>
            <a:r>
              <a:rPr lang="nb-NO" sz="1400" b="0">
                <a:latin typeface="+mn-lt"/>
              </a:rPr>
              <a:t>Resultatutvikling</a:t>
            </a:r>
          </a:p>
        </c:rich>
      </c:tx>
      <c:layout>
        <c:manualLayout>
          <c:xMode val="edge"/>
          <c:yMode val="edge"/>
          <c:x val="0.40786341483702632"/>
          <c:y val="1.6684044054634334E-2"/>
        </c:manualLayout>
      </c:layout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'OSR_Resultatr...7971fa5d_S12XER'!$J$52</c:f>
              <c:strCache>
                <c:ptCount val="1"/>
                <c:pt idx="0">
                  <c:v>Regnskap i år</c:v>
                </c:pt>
              </c:strCache>
            </c:strRef>
          </c:tx>
          <c:invertIfNegative val="0"/>
          <c:cat>
            <c:strRef>
              <c:f>'OSR_Resultatr...7971fa5d_S12XER'!$K$51:$V$51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'OSR_Resultatr...7971fa5d_S12XER'!$K$52:$V$52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E6-4932-8511-274DC261A5DA}"/>
            </c:ext>
          </c:extLst>
        </c:ser>
        <c:ser>
          <c:idx val="0"/>
          <c:order val="1"/>
          <c:tx>
            <c:strRef>
              <c:f>'OSR_Resultatr...7971fa5d_S12XER'!$J$53</c:f>
              <c:strCache>
                <c:ptCount val="1"/>
                <c:pt idx="0">
                  <c:v>Regnskap i fjor</c:v>
                </c:pt>
              </c:strCache>
            </c:strRef>
          </c:tx>
          <c:invertIfNegative val="0"/>
          <c:cat>
            <c:strRef>
              <c:f>'OSR_Resultatr...7971fa5d_S12XER'!$K$51:$V$51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'OSR_Resultatr...7971fa5d_S12XER'!$K$53:$V$53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E6-4932-8511-274DC261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2899024"/>
        <c:axId val="322894712"/>
      </c:barChart>
      <c:lineChart>
        <c:grouping val="standard"/>
        <c:varyColors val="0"/>
        <c:ser>
          <c:idx val="2"/>
          <c:order val="2"/>
          <c:tx>
            <c:strRef>
              <c:f>'OSR_Resultatr...7971fa5d_S12XER'!$J$54</c:f>
              <c:strCache>
                <c:ptCount val="1"/>
                <c:pt idx="0">
                  <c:v>Akk.avvik mot i fjor</c:v>
                </c:pt>
              </c:strCache>
            </c:strRef>
          </c:tx>
          <c:marker>
            <c:symbol val="none"/>
          </c:marker>
          <c:cat>
            <c:strRef>
              <c:f>'OSR_Resultatr...7971fa5d_S12XER'!$K$51:$V$51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Des</c:v>
                </c:pt>
              </c:strCache>
            </c:strRef>
          </c:cat>
          <c:val>
            <c:numRef>
              <c:f>'OSR_Resultatr...7971fa5d_S12XER'!$K$54:$V$54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6-4932-8511-274DC261A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99024"/>
        <c:axId val="322894712"/>
      </c:lineChart>
      <c:catAx>
        <c:axId val="322899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chemeClr val="dk1">
                <a:lumMod val="15000"/>
                <a:lumOff val="85000"/>
              </a:schemeClr>
            </a:solidFill>
          </a:ln>
        </c:spPr>
        <c:txPr>
          <a:bodyPr/>
          <a:lstStyle/>
          <a:p>
            <a:pPr>
              <a:defRPr sz="900">
                <a:latin typeface="+mn-lt"/>
              </a:defRPr>
            </a:pPr>
            <a:endParaRPr lang="nb-NO"/>
          </a:p>
        </c:txPr>
        <c:crossAx val="322894712"/>
        <c:crosses val="autoZero"/>
        <c:auto val="1"/>
        <c:lblAlgn val="ctr"/>
        <c:lblOffset val="100"/>
        <c:noMultiLvlLbl val="1"/>
      </c:catAx>
      <c:valAx>
        <c:axId val="322894712"/>
        <c:scaling>
          <c:orientation val="minMax"/>
        </c:scaling>
        <c:delete val="0"/>
        <c:axPos val="l"/>
        <c:majorGridlines>
          <c:spPr>
            <a:ln>
              <a:solidFill>
                <a:schemeClr val="dk1">
                  <a:lumMod val="15000"/>
                  <a:lumOff val="85000"/>
                </a:schemeClr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+mn-lt"/>
              </a:defRPr>
            </a:pPr>
            <a:endParaRPr lang="nb-NO"/>
          </a:p>
        </c:txPr>
        <c:crossAx val="322899024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>
              <a:latin typeface="+mn-lt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lt1"/>
    </a:solidFill>
    <a:ln>
      <a:solidFill>
        <a:schemeClr val="dk1">
          <a:lumMod val="15000"/>
          <a:lumOff val="85000"/>
        </a:schemeClr>
      </a:solidFill>
    </a:ln>
  </c:sp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111</xdr:row>
      <xdr:rowOff>69197</xdr:rowOff>
    </xdr:from>
    <xdr:to>
      <xdr:col>8</xdr:col>
      <xdr:colOff>0</xdr:colOff>
      <xdr:row>128</xdr:row>
      <xdr:rowOff>179294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69197</xdr:rowOff>
    </xdr:from>
    <xdr:to>
      <xdr:col>8</xdr:col>
      <xdr:colOff>0</xdr:colOff>
      <xdr:row>60</xdr:row>
      <xdr:rowOff>179294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69197</xdr:rowOff>
    </xdr:from>
    <xdr:to>
      <xdr:col>8</xdr:col>
      <xdr:colOff>0</xdr:colOff>
      <xdr:row>60</xdr:row>
      <xdr:rowOff>179294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28"/>
  <sheetViews>
    <sheetView showGridLines="0" topLeftCell="B1" workbookViewId="0"/>
  </sheetViews>
  <sheetFormatPr baseColWidth="10" defaultColWidth="11.453125" defaultRowHeight="14.5" outlineLevelRow="1"/>
  <cols>
    <col min="1" max="1" width="1.54296875" hidden="1" customWidth="1"/>
    <col min="2" max="2" width="38.36328125" customWidth="1"/>
    <col min="3" max="4" width="13.08984375" customWidth="1"/>
    <col min="5" max="5" width="2.6328125" customWidth="1"/>
    <col min="6" max="6" width="12.36328125" customWidth="1"/>
    <col min="7" max="7" width="11.453125" customWidth="1"/>
    <col min="8" max="8" width="14.36328125" customWidth="1"/>
    <col min="9" max="9" width="11.453125" style="43"/>
    <col min="10" max="10" width="27" style="43" customWidth="1"/>
    <col min="11" max="22" width="11.453125" style="43" customWidth="1"/>
    <col min="23" max="23" width="11.453125" style="43"/>
  </cols>
  <sheetData>
    <row r="1" spans="2:23" ht="21">
      <c r="B1" s="57" t="s">
        <v>56</v>
      </c>
      <c r="C1" s="79"/>
      <c r="D1" s="35"/>
      <c r="E1" s="35"/>
      <c r="F1" s="35"/>
      <c r="G1" s="35"/>
      <c r="H1" s="35"/>
    </row>
    <row r="2" spans="2:23" ht="21">
      <c r="B2" s="49" t="s">
        <v>53</v>
      </c>
      <c r="C2" s="63">
        <v>12</v>
      </c>
      <c r="D2" s="35"/>
      <c r="E2" s="35"/>
      <c r="F2" s="35"/>
      <c r="G2" s="111">
        <v>43100</v>
      </c>
      <c r="H2" s="111"/>
    </row>
    <row r="3" spans="2:23">
      <c r="B3" s="53"/>
      <c r="C3" s="62"/>
    </row>
    <row r="4" spans="2:23" ht="15.5">
      <c r="B4" s="112" t="s">
        <v>0</v>
      </c>
      <c r="C4" s="114" t="s">
        <v>1</v>
      </c>
      <c r="D4" s="115"/>
      <c r="E4" s="66"/>
      <c r="F4" s="116" t="s">
        <v>2</v>
      </c>
      <c r="G4" s="114"/>
      <c r="H4" s="83" t="s">
        <v>3</v>
      </c>
    </row>
    <row r="5" spans="2:23" ht="15.5">
      <c r="B5" s="113"/>
      <c r="C5" s="70" t="s">
        <v>51</v>
      </c>
      <c r="D5" s="71" t="s">
        <v>52</v>
      </c>
      <c r="E5" s="82"/>
      <c r="F5" s="77" t="s">
        <v>4</v>
      </c>
      <c r="G5" s="61" t="s">
        <v>5</v>
      </c>
      <c r="H5" s="76" t="s">
        <v>6</v>
      </c>
    </row>
    <row r="6" spans="2:23" s="6" customFormat="1">
      <c r="B6" s="10" t="s">
        <v>7</v>
      </c>
      <c r="C6" s="18">
        <f>SUM(OSRRefC7x_0)</f>
        <v>47800</v>
      </c>
      <c r="D6" s="44">
        <f>SUM(OSRRefD7x_0)</f>
        <v>796663.05</v>
      </c>
      <c r="E6" s="16"/>
      <c r="F6" s="17">
        <f>SUM(OSRRefF7x_0)</f>
        <v>973648.47</v>
      </c>
      <c r="G6" s="19">
        <f>SUM(OSRRefG7x_0)</f>
        <v>796663.05</v>
      </c>
      <c r="H6" s="20">
        <f t="shared" ref="H6:H13" si="0">F6-G6</f>
        <v>176985.41999999993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8" customFormat="1" hidden="1" outlineLevel="1">
      <c r="B7" s="9" t="str">
        <f>3000&amp;" - "&amp;"Salg materiell o.a., avgiftspliktig høy sats"</f>
        <v>3000 - Salg materiell o.a., avgiftspliktig høy sats</v>
      </c>
      <c r="C7" s="23">
        <f t="shared" ref="C7:C8" si="1">0*-1</f>
        <v>0</v>
      </c>
      <c r="D7" s="44">
        <f>-28698*-1</f>
        <v>28698</v>
      </c>
      <c r="E7" s="24"/>
      <c r="F7" s="22">
        <f>0*-1</f>
        <v>0</v>
      </c>
      <c r="G7" s="21">
        <f>-28698*-1</f>
        <v>28698</v>
      </c>
      <c r="H7" s="25">
        <f t="shared" si="0"/>
        <v>-28698</v>
      </c>
      <c r="I7" s="2"/>
      <c r="J7" s="2"/>
      <c r="K7" s="2">
        <f t="shared" ref="K7:L9" si="2">0*-1</f>
        <v>0</v>
      </c>
      <c r="L7" s="2">
        <f t="shared" si="2"/>
        <v>0</v>
      </c>
      <c r="M7" s="2">
        <f t="shared" ref="M7:O8" si="3">0*-1</f>
        <v>0</v>
      </c>
      <c r="N7" s="2">
        <f t="shared" si="3"/>
        <v>0</v>
      </c>
      <c r="O7" s="2">
        <f t="shared" si="3"/>
        <v>0</v>
      </c>
      <c r="P7" s="2">
        <f t="shared" ref="P7:U7" si="4">0*-1</f>
        <v>0</v>
      </c>
      <c r="Q7" s="2">
        <f t="shared" si="4"/>
        <v>0</v>
      </c>
      <c r="R7" s="2">
        <f t="shared" si="4"/>
        <v>0</v>
      </c>
      <c r="S7" s="2">
        <f t="shared" si="4"/>
        <v>0</v>
      </c>
      <c r="T7" s="2">
        <f t="shared" si="4"/>
        <v>0</v>
      </c>
      <c r="U7" s="2">
        <f t="shared" si="4"/>
        <v>0</v>
      </c>
      <c r="V7" s="2">
        <f>-28698*-1</f>
        <v>28698</v>
      </c>
      <c r="W7" s="2"/>
    </row>
    <row r="8" spans="2:23" s="8" customFormat="1" hidden="1" outlineLevel="1">
      <c r="B8" s="9" t="str">
        <f>3001&amp;" - "&amp;"Sponsorinntekter, avgiftspliktig"</f>
        <v>3001 - Sponsorinntekter, avgiftspliktig</v>
      </c>
      <c r="C8" s="23">
        <f t="shared" si="1"/>
        <v>0</v>
      </c>
      <c r="D8" s="44">
        <f>0*-1</f>
        <v>0</v>
      </c>
      <c r="E8" s="24"/>
      <c r="F8" s="22">
        <f>-145000*-1</f>
        <v>145000</v>
      </c>
      <c r="G8" s="21">
        <f>0*-1</f>
        <v>0</v>
      </c>
      <c r="H8" s="25">
        <f t="shared" si="0"/>
        <v>145000</v>
      </c>
      <c r="I8" s="2"/>
      <c r="J8" s="2"/>
      <c r="K8" s="2">
        <f t="shared" si="2"/>
        <v>0</v>
      </c>
      <c r="L8" s="2">
        <f t="shared" si="2"/>
        <v>0</v>
      </c>
      <c r="M8" s="2">
        <f t="shared" si="3"/>
        <v>0</v>
      </c>
      <c r="N8" s="2">
        <f t="shared" si="3"/>
        <v>0</v>
      </c>
      <c r="O8" s="2">
        <f t="shared" si="3"/>
        <v>0</v>
      </c>
      <c r="P8" s="2">
        <f>-65000*-1</f>
        <v>65000</v>
      </c>
      <c r="Q8" s="2">
        <f>0*-1</f>
        <v>0</v>
      </c>
      <c r="R8" s="2">
        <f>-80000*-1</f>
        <v>80000</v>
      </c>
      <c r="S8" s="2">
        <f t="shared" ref="S8:V8" si="5">0*-1</f>
        <v>0</v>
      </c>
      <c r="T8" s="2">
        <f t="shared" si="5"/>
        <v>0</v>
      </c>
      <c r="U8" s="2">
        <f t="shared" si="5"/>
        <v>0</v>
      </c>
      <c r="V8" s="2">
        <f t="shared" si="5"/>
        <v>0</v>
      </c>
      <c r="W8" s="2"/>
    </row>
    <row r="9" spans="2:23" s="8" customFormat="1" hidden="1" outlineLevel="1">
      <c r="B9" s="9" t="str">
        <f>3100&amp;" - "&amp;"Salg materiell o.a. handelsvarer, avgiftsfritt"</f>
        <v>3100 - Salg materiell o.a. handelsvarer, avgiftsfritt</v>
      </c>
      <c r="C9" s="23">
        <f>88950*-1</f>
        <v>-88950</v>
      </c>
      <c r="D9" s="44">
        <f>-99950*-1</f>
        <v>99950</v>
      </c>
      <c r="E9" s="24"/>
      <c r="F9" s="22">
        <f t="shared" ref="F9:F10" si="6">0*-1</f>
        <v>0</v>
      </c>
      <c r="G9" s="21">
        <f>-99950*-1</f>
        <v>99950</v>
      </c>
      <c r="H9" s="25">
        <f t="shared" si="0"/>
        <v>-99950</v>
      </c>
      <c r="I9" s="2"/>
      <c r="J9" s="2"/>
      <c r="K9" s="2">
        <f t="shared" si="2"/>
        <v>0</v>
      </c>
      <c r="L9" s="2">
        <f t="shared" si="2"/>
        <v>0</v>
      </c>
      <c r="M9" s="2">
        <f>-32700*-1</f>
        <v>32700</v>
      </c>
      <c r="N9" s="2">
        <f>-5000*-1</f>
        <v>5000</v>
      </c>
      <c r="O9" s="2">
        <f t="shared" ref="O9:P9" si="7">0*-1</f>
        <v>0</v>
      </c>
      <c r="P9" s="2">
        <f t="shared" si="7"/>
        <v>0</v>
      </c>
      <c r="Q9" s="2">
        <f>-26250*-1</f>
        <v>26250</v>
      </c>
      <c r="R9" s="2">
        <f t="shared" ref="R9:R10" si="8">0*-1</f>
        <v>0</v>
      </c>
      <c r="S9" s="2">
        <f>-25000*-1</f>
        <v>25000</v>
      </c>
      <c r="T9" s="2">
        <f t="shared" ref="T9:U10" si="9">0*-1</f>
        <v>0</v>
      </c>
      <c r="U9" s="2">
        <f t="shared" si="9"/>
        <v>0</v>
      </c>
      <c r="V9" s="2">
        <f>-11000*-1</f>
        <v>11000</v>
      </c>
      <c r="W9" s="2"/>
    </row>
    <row r="10" spans="2:23" s="8" customFormat="1" hidden="1" outlineLevel="1">
      <c r="B10" s="9" t="str">
        <f>3101&amp;" - "&amp;"Sponsorinntekter , avgiftsfrie"</f>
        <v>3101 - Sponsorinntekter , avgiftsfrie</v>
      </c>
      <c r="C10" s="23">
        <f>170425.95*-1</f>
        <v>-170425.95</v>
      </c>
      <c r="D10" s="44">
        <f>-546899.88*-1</f>
        <v>546899.88</v>
      </c>
      <c r="E10" s="24"/>
      <c r="F10" s="22">
        <f t="shared" si="6"/>
        <v>0</v>
      </c>
      <c r="G10" s="21">
        <f>-546899.88*-1</f>
        <v>546899.88</v>
      </c>
      <c r="H10" s="25">
        <f t="shared" si="0"/>
        <v>-546899.88</v>
      </c>
      <c r="I10" s="2"/>
      <c r="J10" s="2"/>
      <c r="K10" s="2">
        <f>-27000*-1</f>
        <v>27000</v>
      </c>
      <c r="L10" s="2">
        <f>-40425.95*-1</f>
        <v>40425.949999999997</v>
      </c>
      <c r="M10" s="2">
        <f t="shared" ref="M10:N10" si="10">0*-1</f>
        <v>0</v>
      </c>
      <c r="N10" s="2">
        <f t="shared" si="10"/>
        <v>0</v>
      </c>
      <c r="O10" s="2">
        <f>-63000*-1</f>
        <v>63000</v>
      </c>
      <c r="P10" s="2">
        <f>-40000*-1</f>
        <v>40000</v>
      </c>
      <c r="Q10" s="2">
        <f t="shared" ref="Q10:Q11" si="11">0*-1</f>
        <v>0</v>
      </c>
      <c r="R10" s="2">
        <f t="shared" si="8"/>
        <v>0</v>
      </c>
      <c r="S10" s="2">
        <f>0*-1</f>
        <v>0</v>
      </c>
      <c r="T10" s="2">
        <f t="shared" si="9"/>
        <v>0</v>
      </c>
      <c r="U10" s="2">
        <f t="shared" si="9"/>
        <v>0</v>
      </c>
      <c r="V10" s="2">
        <f>-376473.93*-1</f>
        <v>376473.93</v>
      </c>
      <c r="W10" s="2"/>
    </row>
    <row r="11" spans="2:23" s="8" customFormat="1" hidden="1" outlineLevel="1">
      <c r="B11" s="9" t="str">
        <f>3200&amp;" - "&amp;"Salg kiosk m.m. utenfor avg.omr."</f>
        <v>3200 - Salg kiosk m.m. utenfor avg.omr.</v>
      </c>
      <c r="C11" s="23">
        <f>-8000*-1</f>
        <v>8000</v>
      </c>
      <c r="D11" s="44">
        <f>-121115.17*-1</f>
        <v>121115.17</v>
      </c>
      <c r="E11" s="24"/>
      <c r="F11" s="22">
        <f>-113993.52*-1</f>
        <v>113993.52</v>
      </c>
      <c r="G11" s="21">
        <f>-121115.17*-1</f>
        <v>121115.17</v>
      </c>
      <c r="H11" s="25">
        <f t="shared" si="0"/>
        <v>-7121.6499999999942</v>
      </c>
      <c r="I11" s="2"/>
      <c r="J11" s="2"/>
      <c r="K11" s="2">
        <f>-4200*-1</f>
        <v>4200</v>
      </c>
      <c r="L11" s="2">
        <f>-625*-1</f>
        <v>625</v>
      </c>
      <c r="M11" s="2">
        <f>-350*-1</f>
        <v>350</v>
      </c>
      <c r="N11" s="2">
        <f>-416*-1</f>
        <v>416</v>
      </c>
      <c r="O11" s="2">
        <f>-24376.56*-1</f>
        <v>24376.560000000001</v>
      </c>
      <c r="P11" s="2">
        <f>-7328.23*-1</f>
        <v>7328.23</v>
      </c>
      <c r="Q11" s="2">
        <f t="shared" si="11"/>
        <v>0</v>
      </c>
      <c r="R11" s="2">
        <f>-4913*-1</f>
        <v>4913</v>
      </c>
      <c r="S11" s="2">
        <f>-11183.61*-1</f>
        <v>11183.61</v>
      </c>
      <c r="T11" s="2">
        <f>-3584.12*-1</f>
        <v>3584.12</v>
      </c>
      <c r="U11" s="2">
        <f>-49017*-1</f>
        <v>49017</v>
      </c>
      <c r="V11" s="2">
        <f>-129115.17*-1</f>
        <v>129115.17</v>
      </c>
      <c r="W11" s="2"/>
    </row>
    <row r="12" spans="2:23" s="8" customFormat="1" hidden="1" outlineLevel="1">
      <c r="B12" s="9" t="str">
        <f>3201&amp;" - "&amp;"Sponsorinntekter, utenfor avg.omr."</f>
        <v>3201 - Sponsorinntekter, utenfor avg.omr.</v>
      </c>
      <c r="C12" s="23">
        <f>-200425.95*-1</f>
        <v>200425.95</v>
      </c>
      <c r="D12" s="44">
        <f t="shared" ref="D12:D13" si="12">0*-1</f>
        <v>0</v>
      </c>
      <c r="E12" s="24"/>
      <c r="F12" s="22">
        <f>-581901.95*-1</f>
        <v>581901.94999999995</v>
      </c>
      <c r="G12" s="21">
        <f t="shared" ref="G12:G13" si="13">0*-1</f>
        <v>0</v>
      </c>
      <c r="H12" s="25">
        <f t="shared" si="0"/>
        <v>581901.94999999995</v>
      </c>
      <c r="I12" s="2"/>
      <c r="J12" s="2"/>
      <c r="K12" s="2">
        <f>-180000*-1</f>
        <v>180000</v>
      </c>
      <c r="L12" s="2">
        <f>-7500*-1</f>
        <v>7500</v>
      </c>
      <c r="M12" s="2">
        <f>-35476*-1</f>
        <v>35476</v>
      </c>
      <c r="N12" s="2">
        <f>-50000*-1</f>
        <v>50000</v>
      </c>
      <c r="O12" s="2">
        <f t="shared" ref="O12:P13" si="14">0*-1</f>
        <v>0</v>
      </c>
      <c r="P12" s="2">
        <f t="shared" si="14"/>
        <v>0</v>
      </c>
      <c r="Q12" s="2">
        <f>-45500*-1</f>
        <v>45500</v>
      </c>
      <c r="R12" s="2">
        <f>-3000*-1</f>
        <v>3000</v>
      </c>
      <c r="S12" s="2">
        <f>-40000*-1</f>
        <v>40000</v>
      </c>
      <c r="T12" s="2">
        <f>0*-1</f>
        <v>0</v>
      </c>
      <c r="U12" s="2">
        <f>-20000*-1</f>
        <v>20000</v>
      </c>
      <c r="V12" s="2">
        <f>-200425.95*-1</f>
        <v>200425.95</v>
      </c>
      <c r="W12" s="2"/>
    </row>
    <row r="13" spans="2:23" s="8" customFormat="1" hidden="1" outlineLevel="1">
      <c r="B13" s="9" t="str">
        <f>3210&amp;" - "&amp;"Salg materiell, utenfor avg.omr."</f>
        <v>3210 - Salg materiell, utenfor avg.omr.</v>
      </c>
      <c r="C13" s="23">
        <f>-98750*-1</f>
        <v>98750</v>
      </c>
      <c r="D13" s="44">
        <f t="shared" si="12"/>
        <v>0</v>
      </c>
      <c r="E13" s="24"/>
      <c r="F13" s="22">
        <f>-132753*-1</f>
        <v>132753</v>
      </c>
      <c r="G13" s="21">
        <f t="shared" si="13"/>
        <v>0</v>
      </c>
      <c r="H13" s="25">
        <f t="shared" si="0"/>
        <v>132753</v>
      </c>
      <c r="I13" s="2"/>
      <c r="J13" s="2"/>
      <c r="K13" s="2">
        <f>0*-1</f>
        <v>0</v>
      </c>
      <c r="L13" s="2">
        <f>-4000*-1</f>
        <v>4000</v>
      </c>
      <c r="M13" s="2">
        <f>-1500*-1</f>
        <v>1500</v>
      </c>
      <c r="N13" s="2">
        <f>0*-1</f>
        <v>0</v>
      </c>
      <c r="O13" s="2">
        <f t="shared" si="14"/>
        <v>0</v>
      </c>
      <c r="P13" s="2">
        <f t="shared" si="14"/>
        <v>0</v>
      </c>
      <c r="Q13" s="2">
        <f t="shared" ref="Q13:S13" si="15">0*-1</f>
        <v>0</v>
      </c>
      <c r="R13" s="2">
        <f t="shared" si="15"/>
        <v>0</v>
      </c>
      <c r="S13" s="2">
        <f t="shared" si="15"/>
        <v>0</v>
      </c>
      <c r="T13" s="2">
        <f>-28503*-1</f>
        <v>28503</v>
      </c>
      <c r="U13" s="2">
        <f>0*-1</f>
        <v>0</v>
      </c>
      <c r="V13" s="2">
        <f>-98750*-1</f>
        <v>98750</v>
      </c>
      <c r="W13" s="2"/>
    </row>
    <row r="14" spans="2:23" s="6" customFormat="1" collapsed="1">
      <c r="B14" s="10" t="s">
        <v>8</v>
      </c>
      <c r="C14" s="18">
        <f>SUM(OSRRefC9x_0)</f>
        <v>1544</v>
      </c>
      <c r="D14" s="44">
        <f>SUM(OSRRefD9x_0)</f>
        <v>1191030</v>
      </c>
      <c r="E14" s="16"/>
      <c r="F14" s="17">
        <f>SUM(OSRRefF9x_0)</f>
        <v>3007738</v>
      </c>
      <c r="G14" s="19">
        <f>SUM(OSRRefG9x_0)</f>
        <v>1191030</v>
      </c>
      <c r="H14" s="20">
        <f t="shared" ref="H14:H18" si="16">F14-G14</f>
        <v>1816708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2:23" s="8" customFormat="1" hidden="1" outlineLevel="1">
      <c r="B15" s="9" t="str">
        <f>3400&amp;" - "&amp;"Offentlige tilskudd"</f>
        <v>3400 - Offentlige tilskudd</v>
      </c>
      <c r="C15" s="23">
        <f t="shared" ref="C15:C16" si="17">0*-1</f>
        <v>0</v>
      </c>
      <c r="D15" s="44">
        <f>-479210*-1</f>
        <v>479210</v>
      </c>
      <c r="E15" s="24"/>
      <c r="F15" s="22">
        <f>-2502003*-1</f>
        <v>2502003</v>
      </c>
      <c r="G15" s="21">
        <f>-479210*-1</f>
        <v>479210</v>
      </c>
      <c r="H15" s="25">
        <f t="shared" si="16"/>
        <v>2022793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2:23" s="8" customFormat="1" hidden="1" outlineLevel="1">
      <c r="B16" s="9" t="str">
        <f>3440&amp;" - "&amp;"Tilskudd fra idrettsforbund"</f>
        <v>3440 - Tilskudd fra idrettsforbund</v>
      </c>
      <c r="C16" s="23">
        <f t="shared" si="17"/>
        <v>0</v>
      </c>
      <c r="D16" s="44">
        <f>-560276*-1</f>
        <v>560276</v>
      </c>
      <c r="E16" s="24"/>
      <c r="F16" s="22">
        <f>-254191*-1</f>
        <v>254191</v>
      </c>
      <c r="G16" s="21">
        <f>-560276*-1</f>
        <v>560276</v>
      </c>
      <c r="H16" s="25">
        <f t="shared" si="16"/>
        <v>-306085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2:23" s="8" customFormat="1" hidden="1" outlineLevel="1">
      <c r="B17" s="9" t="str">
        <f>3441&amp;" - "&amp;"Tilskudd fra idrettskrets"</f>
        <v>3441 - Tilskudd fra idrettskrets</v>
      </c>
      <c r="C17" s="23">
        <f t="shared" ref="C17:D17" si="18">-1544*-1</f>
        <v>1544</v>
      </c>
      <c r="D17" s="44">
        <f t="shared" si="18"/>
        <v>1544</v>
      </c>
      <c r="E17" s="24"/>
      <c r="F17" s="22">
        <f t="shared" ref="F17:G17" si="19">-1544*-1</f>
        <v>1544</v>
      </c>
      <c r="G17" s="21">
        <f t="shared" si="19"/>
        <v>1544</v>
      </c>
      <c r="H17" s="25">
        <f t="shared" si="16"/>
        <v>0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2:23" s="8" customFormat="1" hidden="1" outlineLevel="1">
      <c r="B18" s="9" t="str">
        <f>3442&amp;" - "&amp;"Tilskudd til daglig leder"</f>
        <v>3442 - Tilskudd til daglig leder</v>
      </c>
      <c r="C18" s="23">
        <f>0*-1</f>
        <v>0</v>
      </c>
      <c r="D18" s="44">
        <f>-150000*-1</f>
        <v>150000</v>
      </c>
      <c r="E18" s="24"/>
      <c r="F18" s="22">
        <f>-250000*-1</f>
        <v>250000</v>
      </c>
      <c r="G18" s="21">
        <f>-150000*-1</f>
        <v>150000</v>
      </c>
      <c r="H18" s="25">
        <f t="shared" si="16"/>
        <v>100000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2:23" s="6" customFormat="1" collapsed="1">
      <c r="B19" s="10" t="s">
        <v>9</v>
      </c>
      <c r="C19" s="18">
        <f>SUM(OSRRefC11x_0)</f>
        <v>875</v>
      </c>
      <c r="D19" s="44">
        <f>SUM(OSRRefD11x_0)</f>
        <v>18000</v>
      </c>
      <c r="E19" s="16"/>
      <c r="F19" s="17">
        <f>SUM(OSRRefF11x_0)</f>
        <v>25875</v>
      </c>
      <c r="G19" s="19">
        <f>SUM(OSRRefG11x_0)</f>
        <v>18000</v>
      </c>
      <c r="H19" s="20">
        <f t="shared" ref="H19:H35" si="20">F19-G19</f>
        <v>7875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s="8" customFormat="1" hidden="1" outlineLevel="1">
      <c r="B20" s="9" t="str">
        <f>3600&amp;" - "&amp;"Leieinntekter fast eiendom"</f>
        <v>3600 - Leieinntekter fast eiendom</v>
      </c>
      <c r="C20" s="23">
        <f>-875*-1</f>
        <v>875</v>
      </c>
      <c r="D20" s="44">
        <f>-18000*-1</f>
        <v>18000</v>
      </c>
      <c r="E20" s="24"/>
      <c r="F20" s="22">
        <f>-25875*-1</f>
        <v>25875</v>
      </c>
      <c r="G20" s="21">
        <f>-18000*-1</f>
        <v>18000</v>
      </c>
      <c r="H20" s="25">
        <f t="shared" si="20"/>
        <v>7875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2:23" s="6" customFormat="1" collapsed="1">
      <c r="B21" s="10" t="s">
        <v>10</v>
      </c>
      <c r="C21" s="18">
        <f>SUM(OSRRefC13x_0)</f>
        <v>285086.06999999995</v>
      </c>
      <c r="D21" s="44">
        <f>SUM(OSRRefD13x_0)</f>
        <v>1923279.1400000001</v>
      </c>
      <c r="E21" s="16"/>
      <c r="F21" s="17">
        <f>SUM(OSRRefF13x_0)</f>
        <v>1836993.13</v>
      </c>
      <c r="G21" s="19">
        <f>SUM(OSRRefG13x_0)</f>
        <v>1923279.1400000001</v>
      </c>
      <c r="H21" s="20">
        <f t="shared" si="20"/>
        <v>-86286.010000000242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 s="8" customFormat="1" hidden="1" outlineLevel="1">
      <c r="B22" s="9" t="str">
        <f>3700&amp;" - "&amp;"Provisjonsinntekter, avgiftspliktig"</f>
        <v>3700 - Provisjonsinntekter, avgiftspliktig</v>
      </c>
      <c r="C22" s="23">
        <f t="shared" ref="C22:D27" si="21">0*-1</f>
        <v>0</v>
      </c>
      <c r="D22" s="44">
        <f t="shared" si="21"/>
        <v>0</v>
      </c>
      <c r="E22" s="24"/>
      <c r="F22" s="22">
        <f t="shared" ref="F22:G27" si="22">0*-1</f>
        <v>0</v>
      </c>
      <c r="G22" s="21">
        <f t="shared" si="22"/>
        <v>0</v>
      </c>
      <c r="H22" s="25">
        <f t="shared" si="20"/>
        <v>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2:23" s="8" customFormat="1" hidden="1" outlineLevel="1">
      <c r="B23" s="9" t="str">
        <f>3705&amp;" - "&amp;"Provisjonsinntekter, avgiftsfritt"</f>
        <v>3705 - Provisjonsinntekter, avgiftsfritt</v>
      </c>
      <c r="C23" s="23">
        <f t="shared" si="21"/>
        <v>0</v>
      </c>
      <c r="D23" s="44">
        <f t="shared" si="21"/>
        <v>0</v>
      </c>
      <c r="E23" s="24"/>
      <c r="F23" s="22">
        <f t="shared" si="22"/>
        <v>0</v>
      </c>
      <c r="G23" s="21">
        <f t="shared" si="22"/>
        <v>0</v>
      </c>
      <c r="H23" s="25">
        <f t="shared" si="20"/>
        <v>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2:23" s="8" customFormat="1" hidden="1" outlineLevel="1">
      <c r="B24" s="9" t="str">
        <f>3800&amp;" - "&amp;"Salgssum anleggsm, avgiftspliktig salg"</f>
        <v>3800 - Salgssum anleggsm, avgiftspliktig salg</v>
      </c>
      <c r="C24" s="23">
        <f t="shared" si="21"/>
        <v>0</v>
      </c>
      <c r="D24" s="44">
        <f t="shared" si="21"/>
        <v>0</v>
      </c>
      <c r="E24" s="24"/>
      <c r="F24" s="22">
        <f t="shared" si="22"/>
        <v>0</v>
      </c>
      <c r="G24" s="21">
        <f t="shared" si="22"/>
        <v>0</v>
      </c>
      <c r="H24" s="25">
        <f t="shared" si="20"/>
        <v>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2:23" s="8" customFormat="1" hidden="1" outlineLevel="1">
      <c r="B25" s="9" t="str">
        <f>3805&amp;" - "&amp;"Salgssum anleggsm, avgiftsfritt salg"</f>
        <v>3805 - Salgssum anleggsm, avgiftsfritt salg</v>
      </c>
      <c r="C25" s="23">
        <f t="shared" si="21"/>
        <v>0</v>
      </c>
      <c r="D25" s="44">
        <f t="shared" si="21"/>
        <v>0</v>
      </c>
      <c r="E25" s="24"/>
      <c r="F25" s="22">
        <f t="shared" si="22"/>
        <v>0</v>
      </c>
      <c r="G25" s="21">
        <f t="shared" si="22"/>
        <v>0</v>
      </c>
      <c r="H25" s="25">
        <f t="shared" si="20"/>
        <v>0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2:23" s="8" customFormat="1" hidden="1" outlineLevel="1">
      <c r="B26" s="9" t="str">
        <f>3809&amp;" - "&amp;"Motkonto, bal.verdi solgte anlmidler"</f>
        <v>3809 - Motkonto, bal.verdi solgte anlmidler</v>
      </c>
      <c r="C26" s="23">
        <f t="shared" si="21"/>
        <v>0</v>
      </c>
      <c r="D26" s="44">
        <f t="shared" si="21"/>
        <v>0</v>
      </c>
      <c r="E26" s="24"/>
      <c r="F26" s="22">
        <f t="shared" si="22"/>
        <v>0</v>
      </c>
      <c r="G26" s="21">
        <f t="shared" si="22"/>
        <v>0</v>
      </c>
      <c r="H26" s="25">
        <f t="shared" si="20"/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2:23" s="8" customFormat="1" hidden="1" outlineLevel="1">
      <c r="B27" s="9" t="str">
        <f>3900&amp;" - "&amp;"Andre driftsinntekter, avgiftspliktig høy sats"</f>
        <v>3900 - Andre driftsinntekter, avgiftspliktig høy sats</v>
      </c>
      <c r="C27" s="23">
        <f t="shared" si="21"/>
        <v>0</v>
      </c>
      <c r="D27" s="44">
        <f t="shared" si="21"/>
        <v>0</v>
      </c>
      <c r="E27" s="24"/>
      <c r="F27" s="22">
        <f t="shared" si="22"/>
        <v>0</v>
      </c>
      <c r="G27" s="21">
        <f t="shared" si="22"/>
        <v>0</v>
      </c>
      <c r="H27" s="25">
        <f t="shared" si="20"/>
        <v>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2:23" s="8" customFormat="1" hidden="1" outlineLevel="1">
      <c r="B28" s="9" t="str">
        <f>3901&amp;" - "&amp;"MVA kompensasjon"</f>
        <v>3901 - MVA kompensasjon</v>
      </c>
      <c r="C28" s="23">
        <f>-206746*-1</f>
        <v>206746</v>
      </c>
      <c r="D28" s="44">
        <f>-219868*-1</f>
        <v>219868</v>
      </c>
      <c r="E28" s="24"/>
      <c r="F28" s="22">
        <f>-206746*-1</f>
        <v>206746</v>
      </c>
      <c r="G28" s="21">
        <f>-219868*-1</f>
        <v>219868</v>
      </c>
      <c r="H28" s="25">
        <f t="shared" si="20"/>
        <v>-13122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2:23" s="8" customFormat="1" hidden="1" outlineLevel="1">
      <c r="B29" s="9" t="str">
        <f>3920&amp;" - "&amp;"Medlemskontingenter"</f>
        <v>3920 - Medlemskontingenter</v>
      </c>
      <c r="C29" s="23">
        <f>-4850*-1</f>
        <v>4850</v>
      </c>
      <c r="D29" s="44">
        <f>-238465.62*-1</f>
        <v>238465.62</v>
      </c>
      <c r="E29" s="24"/>
      <c r="F29" s="22">
        <f>-275922*-1</f>
        <v>275922</v>
      </c>
      <c r="G29" s="21">
        <f>-238465.62*-1</f>
        <v>238465.62</v>
      </c>
      <c r="H29" s="25">
        <f t="shared" si="20"/>
        <v>37456.380000000005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2:23" s="8" customFormat="1" hidden="1" outlineLevel="1">
      <c r="B30" s="9" t="str">
        <f>3930&amp;" - "&amp;"Treningsavgifter"</f>
        <v>3930 - Treningsavgifter</v>
      </c>
      <c r="C30" s="23">
        <f>-27674*-1</f>
        <v>27674</v>
      </c>
      <c r="D30" s="44">
        <f>-515955.94*-1</f>
        <v>515955.94</v>
      </c>
      <c r="E30" s="24"/>
      <c r="F30" s="22">
        <f>-373479.17*-1</f>
        <v>373479.17</v>
      </c>
      <c r="G30" s="21">
        <f>-515955.94*-1</f>
        <v>515955.94</v>
      </c>
      <c r="H30" s="25">
        <f t="shared" si="20"/>
        <v>-142476.77000000002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2:23" s="8" customFormat="1" hidden="1" outlineLevel="1">
      <c r="B31" s="9" t="str">
        <f>3940&amp;" - "&amp;"Egenandeler"</f>
        <v>3940 - Egenandeler</v>
      </c>
      <c r="C31" s="23">
        <f>-4160*-1</f>
        <v>4160</v>
      </c>
      <c r="D31" s="44">
        <f>-96490*-1</f>
        <v>96490</v>
      </c>
      <c r="E31" s="24"/>
      <c r="F31" s="22">
        <f>-102393*-1</f>
        <v>102393</v>
      </c>
      <c r="G31" s="21">
        <f>-96490*-1</f>
        <v>96490</v>
      </c>
      <c r="H31" s="25">
        <f t="shared" si="20"/>
        <v>5903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2:23" s="8" customFormat="1" hidden="1" outlineLevel="1">
      <c r="B32" s="9" t="str">
        <f>3950&amp;" - "&amp;"Turneringsinntekter, etc."</f>
        <v>3950 - Turneringsinntekter, etc.</v>
      </c>
      <c r="C32" s="23">
        <f>-20938.85*-1</f>
        <v>20938.849999999999</v>
      </c>
      <c r="D32" s="44">
        <f>-755079.52*-1</f>
        <v>755079.52</v>
      </c>
      <c r="E32" s="24"/>
      <c r="F32" s="22">
        <f>-595026.86*-1</f>
        <v>595026.86</v>
      </c>
      <c r="G32" s="21">
        <f>-755079.52*-1</f>
        <v>755079.52</v>
      </c>
      <c r="H32" s="25">
        <f t="shared" si="20"/>
        <v>-160052.66000000003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2:23" s="8" customFormat="1" hidden="1" outlineLevel="1">
      <c r="B33" s="9" t="str">
        <f>3990&amp;" - "&amp;"Andre driftsinntekter, utenfor avg.området"</f>
        <v>3990 - Andre driftsinntekter, utenfor avg.området</v>
      </c>
      <c r="C33" s="23">
        <f>-20717.22*-1</f>
        <v>20717.22</v>
      </c>
      <c r="D33" s="44">
        <f>-63843*-1</f>
        <v>63843</v>
      </c>
      <c r="E33" s="24"/>
      <c r="F33" s="22">
        <f>-161101.77*-1</f>
        <v>161101.76999999999</v>
      </c>
      <c r="G33" s="21">
        <f>-63843*-1</f>
        <v>63843</v>
      </c>
      <c r="H33" s="25">
        <f t="shared" si="20"/>
        <v>97258.76999999999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2:23" s="8" customFormat="1" hidden="1" outlineLevel="1">
      <c r="B34" s="9" t="str">
        <f>3991&amp;" - "&amp;"Grasrotandel"</f>
        <v>3991 - Grasrotandel</v>
      </c>
      <c r="C34" s="23">
        <f t="shared" ref="C34:C35" si="23">0*-1</f>
        <v>0</v>
      </c>
      <c r="D34" s="44">
        <f>-66472.06*-1</f>
        <v>66472.06</v>
      </c>
      <c r="E34" s="24"/>
      <c r="F34" s="22">
        <f>-122324.33*-1</f>
        <v>122324.33</v>
      </c>
      <c r="G34" s="21">
        <f>-66472.06*-1</f>
        <v>66472.06</v>
      </c>
      <c r="H34" s="25">
        <f t="shared" si="20"/>
        <v>55852.270000000004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2:23" s="8" customFormat="1" hidden="1" outlineLevel="1">
      <c r="B35" s="9" t="str">
        <f>3992&amp;" - "&amp;"Overføring Hovedstyret"</f>
        <v>3992 - Overføring Hovedstyret</v>
      </c>
      <c r="C35" s="23">
        <f t="shared" si="23"/>
        <v>0</v>
      </c>
      <c r="D35" s="44">
        <f>32895*-1</f>
        <v>-32895</v>
      </c>
      <c r="E35" s="24"/>
      <c r="F35" s="22">
        <f>0*-1</f>
        <v>0</v>
      </c>
      <c r="G35" s="21">
        <f>32895*-1</f>
        <v>-32895</v>
      </c>
      <c r="H35" s="25">
        <f t="shared" si="20"/>
        <v>32895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2:23" s="6" customFormat="1" collapsed="1">
      <c r="B36" s="33" t="s">
        <v>11</v>
      </c>
      <c r="C36" s="41">
        <f t="shared" ref="C36:D36" si="24">C6+C14+C19+C21</f>
        <v>335305.06999999995</v>
      </c>
      <c r="D36" s="42">
        <f t="shared" si="24"/>
        <v>3928972.1900000004</v>
      </c>
      <c r="E36" s="32"/>
      <c r="F36" s="45">
        <f t="shared" ref="F36:G36" si="25">F6+F14+F19+F21</f>
        <v>5844254.5999999996</v>
      </c>
      <c r="G36" s="40">
        <f t="shared" si="25"/>
        <v>3928972.1900000004</v>
      </c>
      <c r="H36" s="55">
        <f t="shared" ref="H36:H42" si="26">F36-G36</f>
        <v>1915282.4099999992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>
      <c r="B37" s="36"/>
      <c r="C37" s="18"/>
      <c r="D37" s="44"/>
      <c r="E37" s="16"/>
      <c r="F37" s="17"/>
      <c r="G37" s="19"/>
      <c r="H37" s="20">
        <f t="shared" si="26"/>
        <v>0</v>
      </c>
    </row>
    <row r="38" spans="2:23" s="6" customFormat="1">
      <c r="B38" s="10" t="s">
        <v>12</v>
      </c>
      <c r="C38" s="18">
        <f>SUM(OSRRefC17x_0)</f>
        <v>0</v>
      </c>
      <c r="D38" s="44">
        <f>SUM(OSRRefD17x_0)</f>
        <v>19760</v>
      </c>
      <c r="E38" s="16"/>
      <c r="F38" s="17">
        <f>SUM(OSRRefF17x_0)</f>
        <v>257329.75</v>
      </c>
      <c r="G38" s="19">
        <f>SUM(OSRRefG17x_0)</f>
        <v>19760</v>
      </c>
      <c r="H38" s="20">
        <f t="shared" si="26"/>
        <v>237569.75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s="8" customFormat="1" hidden="1" outlineLevel="1">
      <c r="B39" s="9" t="str">
        <f>4300&amp;" - "&amp;"Innkjøp varer for videresalg"</f>
        <v>4300 - Innkjøp varer for videresalg</v>
      </c>
      <c r="C39" s="23"/>
      <c r="D39" s="44">
        <v>19760</v>
      </c>
      <c r="E39" s="24"/>
      <c r="F39" s="22">
        <v>146568</v>
      </c>
      <c r="G39" s="21">
        <v>19760</v>
      </c>
      <c r="H39" s="25">
        <f t="shared" si="26"/>
        <v>126808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2:23" s="8" customFormat="1" hidden="1" outlineLevel="1">
      <c r="B40" s="9" t="str">
        <f>4380&amp;" - "&amp;"Innførselsmerverdiavgift høy sats - debet"</f>
        <v>4380 - Innførselsmerverdiavgift høy sats - debet</v>
      </c>
      <c r="C40" s="23"/>
      <c r="D40" s="44"/>
      <c r="E40" s="24"/>
      <c r="F40" s="22">
        <v>303808.75</v>
      </c>
      <c r="G40" s="21"/>
      <c r="H40" s="25">
        <f t="shared" si="26"/>
        <v>303808.75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2:23" s="8" customFormat="1" hidden="1" outlineLevel="1">
      <c r="B41" s="9" t="str">
        <f>4381&amp;" - "&amp;"Innførselsmerverdiavgift høy sats - motkonto"</f>
        <v>4381 - Innførselsmerverdiavgift høy sats - motkonto</v>
      </c>
      <c r="C41" s="23"/>
      <c r="D41" s="44"/>
      <c r="E41" s="24"/>
      <c r="F41" s="22">
        <v>-243047</v>
      </c>
      <c r="G41" s="21"/>
      <c r="H41" s="25">
        <f t="shared" si="26"/>
        <v>-243047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2:23" s="8" customFormat="1" hidden="1" outlineLevel="1">
      <c r="B42" s="9" t="str">
        <f>4500&amp;" - "&amp;"Fremmedytelse og underentreprise"</f>
        <v>4500 - Fremmedytelse og underentreprise</v>
      </c>
      <c r="C42" s="23"/>
      <c r="D42" s="44"/>
      <c r="E42" s="24"/>
      <c r="F42" s="22">
        <v>50000</v>
      </c>
      <c r="G42" s="21"/>
      <c r="H42" s="25">
        <f t="shared" si="26"/>
        <v>50000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2:23" s="6" customFormat="1" collapsed="1">
      <c r="B43" s="10" t="s">
        <v>13</v>
      </c>
      <c r="C43" s="18">
        <f>SUM(OSRRefC19x_0)</f>
        <v>64781.869999999995</v>
      </c>
      <c r="D43" s="44">
        <f>SUM(OSRRefD19x_0)</f>
        <v>191013</v>
      </c>
      <c r="E43" s="16"/>
      <c r="F43" s="17">
        <f>SUM(OSRRefF19x_0)</f>
        <v>572317.7699999999</v>
      </c>
      <c r="G43" s="19">
        <f>SUM(OSRRefG19x_0)</f>
        <v>191013</v>
      </c>
      <c r="H43" s="20">
        <f t="shared" ref="H43:H52" si="27">F43-G43</f>
        <v>381304.7699999999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s="8" customFormat="1" hidden="1" outlineLevel="1">
      <c r="B44" s="9" t="str">
        <f>5000&amp;" - "&amp;"Lønn til ansatte"</f>
        <v>5000 - Lønn til ansatte</v>
      </c>
      <c r="C44" s="23">
        <v>70233.33</v>
      </c>
      <c r="D44" s="44">
        <v>151900</v>
      </c>
      <c r="E44" s="24"/>
      <c r="F44" s="22">
        <v>471746.12</v>
      </c>
      <c r="G44" s="21">
        <v>151900</v>
      </c>
      <c r="H44" s="25">
        <f t="shared" si="27"/>
        <v>319846.12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2:23" s="8" customFormat="1" hidden="1" outlineLevel="1">
      <c r="B45" s="9" t="str">
        <f>5090&amp;" - "&amp;"Påløpt, ikke utbetalt lønn"</f>
        <v>5090 - Påløpt, ikke utbetalt lønn</v>
      </c>
      <c r="C45" s="23"/>
      <c r="D45" s="44"/>
      <c r="E45" s="24"/>
      <c r="F45" s="22">
        <v>0</v>
      </c>
      <c r="G45" s="21"/>
      <c r="H45" s="25">
        <f t="shared" si="27"/>
        <v>0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2:23" s="8" customFormat="1" hidden="1" outlineLevel="1">
      <c r="B46" s="9" t="str">
        <f>5092&amp;" - "&amp;"Feriepenger"</f>
        <v>5092 - Feriepenger</v>
      </c>
      <c r="C46" s="23">
        <v>-12800</v>
      </c>
      <c r="D46" s="44"/>
      <c r="E46" s="24"/>
      <c r="F46" s="22">
        <v>17261.54</v>
      </c>
      <c r="G46" s="21"/>
      <c r="H46" s="25">
        <f t="shared" si="27"/>
        <v>17261.54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2:23" s="8" customFormat="1" hidden="1" outlineLevel="1">
      <c r="B47" s="9" t="str">
        <f>5400&amp;" - "&amp;"Arbeidsgiveravgift"</f>
        <v>5400 - Arbeidsgiveravgift</v>
      </c>
      <c r="C47" s="23">
        <v>7086.34</v>
      </c>
      <c r="D47" s="44">
        <v>39113</v>
      </c>
      <c r="E47" s="24"/>
      <c r="F47" s="22">
        <v>47175.4</v>
      </c>
      <c r="G47" s="21">
        <v>39113</v>
      </c>
      <c r="H47" s="25">
        <f t="shared" si="27"/>
        <v>8062.4000000000015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2:23" s="8" customFormat="1" hidden="1" outlineLevel="1">
      <c r="B48" s="9" t="str">
        <f>5405&amp;" - "&amp;"Arbeidsgiveravg. av påløpne feriepenger"</f>
        <v>5405 - Arbeidsgiveravg. av påløpne feriepenger</v>
      </c>
      <c r="C48" s="23">
        <v>-1356.8</v>
      </c>
      <c r="D48" s="44"/>
      <c r="E48" s="24"/>
      <c r="F48" s="22">
        <v>1829.71</v>
      </c>
      <c r="G48" s="21"/>
      <c r="H48" s="25">
        <f t="shared" si="27"/>
        <v>1829.71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2:23" s="8" customFormat="1" hidden="1" outlineLevel="1">
      <c r="B49" s="9" t="str">
        <f>5452&amp;" - "&amp;"OTP innberettet"</f>
        <v>5452 - OTP innberettet</v>
      </c>
      <c r="C49" s="23">
        <v>1619</v>
      </c>
      <c r="D49" s="44"/>
      <c r="E49" s="24"/>
      <c r="F49" s="22">
        <v>14305</v>
      </c>
      <c r="G49" s="21"/>
      <c r="H49" s="25">
        <f t="shared" si="27"/>
        <v>14305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2:23" s="8" customFormat="1" hidden="1" outlineLevel="1">
      <c r="B50" s="9" t="str">
        <f>5453&amp;" - "&amp;"Motkonto OTP innberettet"</f>
        <v>5453 - Motkonto OTP innberettet</v>
      </c>
      <c r="C50" s="23">
        <v>-1619</v>
      </c>
      <c r="D50" s="44"/>
      <c r="E50" s="24"/>
      <c r="F50" s="22">
        <v>-14305</v>
      </c>
      <c r="G50" s="21"/>
      <c r="H50" s="25">
        <f t="shared" si="27"/>
        <v>-14305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2:23" s="8" customFormat="1" hidden="1" outlineLevel="1">
      <c r="B51" s="9" t="str">
        <f>5890&amp;" - "&amp;"Annen refusjon"</f>
        <v>5890 - Annen refusjon</v>
      </c>
      <c r="C51" s="23"/>
      <c r="D51" s="44"/>
      <c r="E51" s="24"/>
      <c r="F51" s="22">
        <v>20000</v>
      </c>
      <c r="G51" s="21"/>
      <c r="H51" s="25">
        <f t="shared" si="27"/>
        <v>20000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2:23" s="8" customFormat="1" hidden="1" outlineLevel="1">
      <c r="B52" s="9" t="str">
        <f>5930&amp;" - "&amp;"Pensjonsforsikring"</f>
        <v>5930 - Pensjonsforsikring</v>
      </c>
      <c r="C52" s="23">
        <v>1619</v>
      </c>
      <c r="D52" s="44"/>
      <c r="E52" s="24"/>
      <c r="F52" s="22">
        <v>14305</v>
      </c>
      <c r="G52" s="21"/>
      <c r="H52" s="25">
        <f t="shared" si="27"/>
        <v>14305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2:23" s="6" customFormat="1" collapsed="1">
      <c r="B53" s="10" t="s">
        <v>14</v>
      </c>
      <c r="C53" s="18">
        <f>SUM(OSRRefC21x_0)</f>
        <v>0</v>
      </c>
      <c r="D53" s="44">
        <f>SUM(OSRRefD21x_0)</f>
        <v>5882462</v>
      </c>
      <c r="E53" s="16"/>
      <c r="F53" s="17">
        <f>SUM(OSRRefF21x_0)</f>
        <v>0</v>
      </c>
      <c r="G53" s="19">
        <f>SUM(OSRRefG21x_0)</f>
        <v>5882462</v>
      </c>
      <c r="H53" s="20">
        <f t="shared" ref="H53:H55" si="28">F53-G53</f>
        <v>-5882462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s="8" customFormat="1" hidden="1" outlineLevel="1">
      <c r="B54" s="9" t="str">
        <f>6000&amp;" - "&amp;"Avskr. bygning og annen fast eiendom"</f>
        <v>6000 - Avskr. bygning og annen fast eiendom</v>
      </c>
      <c r="C54" s="23"/>
      <c r="D54" s="44">
        <v>700</v>
      </c>
      <c r="E54" s="24"/>
      <c r="F54" s="22"/>
      <c r="G54" s="21">
        <v>700</v>
      </c>
      <c r="H54" s="25">
        <f t="shared" si="28"/>
        <v>-700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2:23" s="8" customFormat="1" hidden="1" outlineLevel="1">
      <c r="B55" s="9" t="str">
        <f>6010&amp;" - "&amp;"Avskrivning idrettsutstyr"</f>
        <v>6010 - Avskrivning idrettsutstyr</v>
      </c>
      <c r="C55" s="23"/>
      <c r="D55" s="44">
        <v>5881762</v>
      </c>
      <c r="E55" s="24"/>
      <c r="F55" s="22"/>
      <c r="G55" s="21">
        <v>5881762</v>
      </c>
      <c r="H55" s="25">
        <f t="shared" si="28"/>
        <v>-5881762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2:23" s="6" customFormat="1" collapsed="1">
      <c r="B56" s="10" t="s">
        <v>15</v>
      </c>
      <c r="C56" s="18">
        <f>SUM(OSRRefC23x_0)</f>
        <v>274339.43</v>
      </c>
      <c r="D56" s="44">
        <f>SUM(OSRRefD23x_0)</f>
        <v>2729470.08</v>
      </c>
      <c r="E56" s="16"/>
      <c r="F56" s="17">
        <f>SUM(OSRRefF23x_0)</f>
        <v>3293709.4299999997</v>
      </c>
      <c r="G56" s="19">
        <f>SUM(OSRRefG23x_0)</f>
        <v>2729470.08</v>
      </c>
      <c r="H56" s="20">
        <f t="shared" ref="H56:H86" si="29">F56-G56</f>
        <v>564239.34999999963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s="8" customFormat="1" hidden="1" outlineLevel="1">
      <c r="B57" s="9" t="str">
        <f>6300&amp;" - "&amp;"Leie lokaler"</f>
        <v>6300 - Leie lokaler</v>
      </c>
      <c r="C57" s="23"/>
      <c r="D57" s="44"/>
      <c r="E57" s="24"/>
      <c r="F57" s="22">
        <v>53433</v>
      </c>
      <c r="G57" s="21"/>
      <c r="H57" s="25">
        <f t="shared" si="29"/>
        <v>53433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2:23" s="8" customFormat="1" hidden="1" outlineLevel="1">
      <c r="B58" s="9" t="str">
        <f>6320&amp;" - "&amp;"Renovasjon, vann, avløp o.l."</f>
        <v>6320 - Renovasjon, vann, avløp o.l.</v>
      </c>
      <c r="C58" s="23">
        <v>795</v>
      </c>
      <c r="D58" s="44"/>
      <c r="E58" s="24"/>
      <c r="F58" s="22">
        <v>6311</v>
      </c>
      <c r="G58" s="21"/>
      <c r="H58" s="25">
        <f t="shared" si="29"/>
        <v>6311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2:23" s="8" customFormat="1" hidden="1" outlineLevel="1">
      <c r="B59" s="9" t="str">
        <f>6340&amp;" - "&amp;"Lys"</f>
        <v>6340 - Lys</v>
      </c>
      <c r="C59" s="23">
        <v>5330.78</v>
      </c>
      <c r="D59" s="44">
        <v>6818.42</v>
      </c>
      <c r="E59" s="24"/>
      <c r="F59" s="22">
        <v>45291.5</v>
      </c>
      <c r="G59" s="21">
        <v>6818.42</v>
      </c>
      <c r="H59" s="25">
        <f t="shared" si="29"/>
        <v>38473.08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2:23" s="8" customFormat="1" hidden="1" outlineLevel="1">
      <c r="B60" s="9" t="str">
        <f>6360&amp;" - "&amp;"Renhold"</f>
        <v>6360 - Renhold</v>
      </c>
      <c r="C60" s="23">
        <v>12890</v>
      </c>
      <c r="D60" s="44"/>
      <c r="E60" s="24"/>
      <c r="F60" s="22">
        <v>63890</v>
      </c>
      <c r="G60" s="21"/>
      <c r="H60" s="25">
        <f t="shared" si="29"/>
        <v>63890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2:23" s="8" customFormat="1" hidden="1" outlineLevel="1">
      <c r="B61" s="9" t="str">
        <f>6400&amp;" - "&amp;"Leie maskiner, inventar, datasystemer m.m."</f>
        <v>6400 - Leie maskiner, inventar, datasystemer m.m.</v>
      </c>
      <c r="C61" s="23">
        <v>3120</v>
      </c>
      <c r="D61" s="44"/>
      <c r="E61" s="24"/>
      <c r="F61" s="22">
        <v>34974.5</v>
      </c>
      <c r="G61" s="21"/>
      <c r="H61" s="25">
        <f t="shared" si="29"/>
        <v>34974.5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2:23" s="8" customFormat="1" hidden="1" outlineLevel="1">
      <c r="B62" s="9" t="str">
        <f>6540&amp;" - "&amp;"Kostnadsført inventar"</f>
        <v>6540 - Kostnadsført inventar</v>
      </c>
      <c r="C62" s="23"/>
      <c r="D62" s="44">
        <v>5523.07</v>
      </c>
      <c r="E62" s="24"/>
      <c r="F62" s="22"/>
      <c r="G62" s="21">
        <v>5523.07</v>
      </c>
      <c r="H62" s="25">
        <f t="shared" si="29"/>
        <v>-5523.07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2:23" s="8" customFormat="1" hidden="1" outlineLevel="1">
      <c r="B63" s="9" t="str">
        <f>6550&amp;" - "&amp;"Kostnadsført datautstyr"</f>
        <v>6550 - Kostnadsført datautstyr</v>
      </c>
      <c r="C63" s="23"/>
      <c r="D63" s="44"/>
      <c r="E63" s="24"/>
      <c r="F63" s="22">
        <v>10373.32</v>
      </c>
      <c r="G63" s="21"/>
      <c r="H63" s="25">
        <f t="shared" si="29"/>
        <v>10373.32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2:23" s="8" customFormat="1" hidden="1" outlineLevel="1">
      <c r="B64" s="9" t="str">
        <f>6580&amp;" - "&amp;"Idrettsutstyr"</f>
        <v>6580 - Idrettsutstyr</v>
      </c>
      <c r="C64" s="23">
        <v>10857</v>
      </c>
      <c r="D64" s="44">
        <v>390549.26</v>
      </c>
      <c r="E64" s="24"/>
      <c r="F64" s="22">
        <v>696849.2</v>
      </c>
      <c r="G64" s="21">
        <v>390549.26</v>
      </c>
      <c r="H64" s="25">
        <f t="shared" si="29"/>
        <v>306299.93999999994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2:23" s="8" customFormat="1" hidden="1" outlineLevel="1">
      <c r="B65" s="9" t="str">
        <f>6590&amp;" - "&amp;"Annet driftsmateriale"</f>
        <v>6590 - Annet driftsmateriale</v>
      </c>
      <c r="C65" s="23">
        <v>-24233.200000000001</v>
      </c>
      <c r="D65" s="44">
        <v>41382.239999999998</v>
      </c>
      <c r="E65" s="24"/>
      <c r="F65" s="22">
        <v>217136.11</v>
      </c>
      <c r="G65" s="21">
        <v>41382.239999999998</v>
      </c>
      <c r="H65" s="25">
        <f t="shared" si="29"/>
        <v>175753.87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2:23" s="8" customFormat="1" hidden="1" outlineLevel="1">
      <c r="B66" s="9" t="str">
        <f>6600&amp;" - "&amp;"Rep. og vedlikehold bygninger"</f>
        <v>6600 - Rep. og vedlikehold bygninger</v>
      </c>
      <c r="C66" s="23"/>
      <c r="D66" s="44"/>
      <c r="E66" s="24"/>
      <c r="F66" s="22">
        <v>356.5</v>
      </c>
      <c r="G66" s="21"/>
      <c r="H66" s="25">
        <f t="shared" si="29"/>
        <v>356.5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2:23" s="8" customFormat="1" hidden="1" outlineLevel="1">
      <c r="B67" s="9" t="str">
        <f>6620&amp;" - "&amp;"Rep. og vedlikehold anlegg, utstyr etc."</f>
        <v>6620 - Rep. og vedlikehold anlegg, utstyr etc.</v>
      </c>
      <c r="C67" s="23">
        <v>9753</v>
      </c>
      <c r="D67" s="44">
        <v>117774.23</v>
      </c>
      <c r="E67" s="24"/>
      <c r="F67" s="22">
        <v>81911.19</v>
      </c>
      <c r="G67" s="21">
        <v>117774.23</v>
      </c>
      <c r="H67" s="25">
        <f t="shared" si="29"/>
        <v>-35863.039999999994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2:23" s="8" customFormat="1" hidden="1" outlineLevel="1">
      <c r="B68" s="9" t="str">
        <f>6705&amp;" - "&amp;"Regnskapshonorar"</f>
        <v>6705 - Regnskapshonorar</v>
      </c>
      <c r="C68" s="23">
        <v>19140</v>
      </c>
      <c r="D68" s="44"/>
      <c r="E68" s="24"/>
      <c r="F68" s="22">
        <v>142987</v>
      </c>
      <c r="G68" s="21"/>
      <c r="H68" s="25">
        <f t="shared" si="29"/>
        <v>142987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2:23" s="8" customFormat="1" hidden="1" outlineLevel="1">
      <c r="B69" s="9" t="str">
        <f>6730&amp;" - "&amp;"Idrettsfaglig bistand"</f>
        <v>6730 - Idrettsfaglig bistand</v>
      </c>
      <c r="C69" s="23">
        <v>29030.1</v>
      </c>
      <c r="D69" s="44">
        <v>586567.11</v>
      </c>
      <c r="E69" s="24"/>
      <c r="F69" s="22">
        <v>269569.03999999998</v>
      </c>
      <c r="G69" s="21">
        <v>586567.11</v>
      </c>
      <c r="H69" s="25">
        <f t="shared" si="29"/>
        <v>-316998.07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2:23" s="8" customFormat="1" hidden="1" outlineLevel="1">
      <c r="B70" s="9" t="str">
        <f>6800&amp;" - "&amp;"Kontorrekvisita"</f>
        <v>6800 - Kontorrekvisita</v>
      </c>
      <c r="C70" s="23">
        <v>1140</v>
      </c>
      <c r="D70" s="44"/>
      <c r="E70" s="24"/>
      <c r="F70" s="22">
        <v>9284.7000000000007</v>
      </c>
      <c r="G70" s="21"/>
      <c r="H70" s="25">
        <f t="shared" si="29"/>
        <v>9284.7000000000007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2:23" s="8" customFormat="1" hidden="1" outlineLevel="1">
      <c r="B71" s="9" t="str">
        <f>6840&amp;" - "&amp;"Aviser, tidsskrifter, bøker o.l"</f>
        <v>6840 - Aviser, tidsskrifter, bøker o.l</v>
      </c>
      <c r="C71" s="23"/>
      <c r="D71" s="44">
        <v>6479</v>
      </c>
      <c r="E71" s="24"/>
      <c r="F71" s="22"/>
      <c r="G71" s="21">
        <v>6479</v>
      </c>
      <c r="H71" s="25">
        <f t="shared" si="29"/>
        <v>-6479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2:23" s="8" customFormat="1" hidden="1" outlineLevel="1">
      <c r="B72" s="9" t="str">
        <f>6860&amp;" - "&amp;"Møter, kurs, oppdatering o.l"</f>
        <v>6860 - Møter, kurs, oppdatering o.l</v>
      </c>
      <c r="C72" s="23">
        <v>14820</v>
      </c>
      <c r="D72" s="44">
        <v>428258.14</v>
      </c>
      <c r="E72" s="24"/>
      <c r="F72" s="22">
        <v>44617.45</v>
      </c>
      <c r="G72" s="21">
        <v>428258.14</v>
      </c>
      <c r="H72" s="25">
        <f t="shared" si="29"/>
        <v>-383640.69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2:23" s="8" customFormat="1" hidden="1" outlineLevel="1">
      <c r="B73" s="9" t="str">
        <f>6900&amp;" - "&amp;"Telefon"</f>
        <v>6900 - Telefon</v>
      </c>
      <c r="C73" s="23"/>
      <c r="D73" s="44"/>
      <c r="E73" s="24"/>
      <c r="F73" s="22">
        <v>14342.22</v>
      </c>
      <c r="G73" s="21"/>
      <c r="H73" s="25">
        <f t="shared" si="29"/>
        <v>14342.22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2:23" s="8" customFormat="1" hidden="1" outlineLevel="1">
      <c r="B74" s="9" t="str">
        <f>6940&amp;" - "&amp;"Porto"</f>
        <v>6940 - Porto</v>
      </c>
      <c r="C74" s="23"/>
      <c r="D74" s="44"/>
      <c r="E74" s="24"/>
      <c r="F74" s="22">
        <v>2452</v>
      </c>
      <c r="G74" s="21"/>
      <c r="H74" s="25">
        <f t="shared" si="29"/>
        <v>2452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2:23" s="8" customFormat="1" hidden="1" outlineLevel="1">
      <c r="B75" s="9" t="str">
        <f>7020&amp;" - "&amp;"Vedlikehold transportmiddel 1"</f>
        <v>7020 - Vedlikehold transportmiddel 1</v>
      </c>
      <c r="C75" s="23"/>
      <c r="D75" s="44">
        <v>34264</v>
      </c>
      <c r="E75" s="24"/>
      <c r="F75" s="22"/>
      <c r="G75" s="21">
        <v>34264</v>
      </c>
      <c r="H75" s="25">
        <f t="shared" si="29"/>
        <v>-34264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2:23" s="8" customFormat="1" hidden="1" outlineLevel="1">
      <c r="B76" s="9" t="str">
        <f>7100&amp;" - "&amp;"Bilgodtgjørelse, oppgavepliktig"</f>
        <v>7100 - Bilgodtgjørelse, oppgavepliktig</v>
      </c>
      <c r="C76" s="23"/>
      <c r="D76" s="44"/>
      <c r="E76" s="24"/>
      <c r="F76" s="22">
        <v>9379.7000000000007</v>
      </c>
      <c r="G76" s="21"/>
      <c r="H76" s="25">
        <f t="shared" si="29"/>
        <v>9379.7000000000007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2:23" s="8" customFormat="1" hidden="1" outlineLevel="1">
      <c r="B77" s="9" t="str">
        <f>7140&amp;" - "&amp;"Reisekostnad, ikke oppg.pliktig"</f>
        <v>7140 - Reisekostnad, ikke oppg.pliktig</v>
      </c>
      <c r="C77" s="23">
        <v>10703</v>
      </c>
      <c r="D77" s="44">
        <v>2040</v>
      </c>
      <c r="E77" s="24"/>
      <c r="F77" s="22">
        <v>82322.039999999994</v>
      </c>
      <c r="G77" s="21">
        <v>2040</v>
      </c>
      <c r="H77" s="25">
        <f t="shared" si="29"/>
        <v>80282.039999999994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2:23" s="8" customFormat="1" hidden="1" outlineLevel="1">
      <c r="B78" s="9" t="str">
        <f>7320&amp;" - "&amp;"Reklameannonser"</f>
        <v>7320 - Reklameannonser</v>
      </c>
      <c r="C78" s="23">
        <v>2874.38</v>
      </c>
      <c r="D78" s="44">
        <v>20996.25</v>
      </c>
      <c r="E78" s="24"/>
      <c r="F78" s="22">
        <v>76760.25</v>
      </c>
      <c r="G78" s="21">
        <v>20996.25</v>
      </c>
      <c r="H78" s="25">
        <f t="shared" si="29"/>
        <v>55764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2:23" s="8" customFormat="1" hidden="1" outlineLevel="1">
      <c r="B79" s="9" t="str">
        <f>7400&amp;" - "&amp;"Medlemskontingenter"</f>
        <v>7400 - Medlemskontingenter</v>
      </c>
      <c r="C79" s="23">
        <v>25022</v>
      </c>
      <c r="D79" s="44">
        <v>49395</v>
      </c>
      <c r="E79" s="24"/>
      <c r="F79" s="22">
        <v>127772</v>
      </c>
      <c r="G79" s="21">
        <v>49395</v>
      </c>
      <c r="H79" s="25">
        <f t="shared" si="29"/>
        <v>78377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2:23" s="8" customFormat="1" hidden="1" outlineLevel="1">
      <c r="B80" s="9" t="str">
        <f>7410&amp;" - "&amp;"Påmelding serier, turneringer etc"</f>
        <v>7410 - Påmelding serier, turneringer etc</v>
      </c>
      <c r="C80" s="23">
        <v>89991.25</v>
      </c>
      <c r="D80" s="44">
        <v>723903.95</v>
      </c>
      <c r="E80" s="24"/>
      <c r="F80" s="22">
        <v>556571.61</v>
      </c>
      <c r="G80" s="21">
        <v>723903.95</v>
      </c>
      <c r="H80" s="25">
        <f t="shared" si="29"/>
        <v>-167332.33999999997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2:26" s="8" customFormat="1" hidden="1" outlineLevel="1">
      <c r="B81" s="9" t="str">
        <f>7420&amp;" - "&amp;"Gaver og premier"</f>
        <v>7420 - Gaver og premier</v>
      </c>
      <c r="C81" s="23">
        <v>25518</v>
      </c>
      <c r="D81" s="44">
        <v>204439.54</v>
      </c>
      <c r="E81" s="24"/>
      <c r="F81" s="22">
        <v>385035.56</v>
      </c>
      <c r="G81" s="21">
        <v>204439.54</v>
      </c>
      <c r="H81" s="25">
        <f t="shared" si="29"/>
        <v>180596.02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2:26" s="8" customFormat="1" hidden="1" outlineLevel="1">
      <c r="B82" s="9" t="str">
        <f>7430&amp;" - "&amp;"Tilstelninger"</f>
        <v>7430 - Tilstelninger</v>
      </c>
      <c r="C82" s="23">
        <v>36730.86</v>
      </c>
      <c r="D82" s="44">
        <v>63184.58</v>
      </c>
      <c r="E82" s="24"/>
      <c r="F82" s="22">
        <v>294076</v>
      </c>
      <c r="G82" s="21">
        <v>63184.58</v>
      </c>
      <c r="H82" s="25">
        <f t="shared" si="29"/>
        <v>230891.41999999998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2:26" s="8" customFormat="1" hidden="1" outlineLevel="1">
      <c r="B83" s="9" t="str">
        <f>7500&amp;" - "&amp;"Forsikringspremie"</f>
        <v>7500 - Forsikringspremie</v>
      </c>
      <c r="C83" s="23"/>
      <c r="D83" s="44">
        <v>44196.5</v>
      </c>
      <c r="E83" s="24"/>
      <c r="F83" s="22">
        <v>49109</v>
      </c>
      <c r="G83" s="21">
        <v>44196.5</v>
      </c>
      <c r="H83" s="25">
        <f t="shared" si="29"/>
        <v>4912.5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2:26" s="8" customFormat="1" hidden="1" outlineLevel="1">
      <c r="B84" s="9" t="str">
        <f>7740&amp;" - "&amp;"Øredifferanser"</f>
        <v>7740 - Øredifferanser</v>
      </c>
      <c r="C84" s="23"/>
      <c r="D84" s="44"/>
      <c r="E84" s="24"/>
      <c r="F84" s="22">
        <v>0.36</v>
      </c>
      <c r="G84" s="21"/>
      <c r="H84" s="25">
        <f t="shared" si="29"/>
        <v>0.36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2:26" s="8" customFormat="1" hidden="1" outlineLevel="1">
      <c r="B85" s="9" t="str">
        <f>7770&amp;" - "&amp;"Bank og kortgebyrer"</f>
        <v>7770 - Bank og kortgebyrer</v>
      </c>
      <c r="C85" s="23">
        <v>857.26</v>
      </c>
      <c r="D85" s="44">
        <v>3698.79</v>
      </c>
      <c r="E85" s="24"/>
      <c r="F85" s="22">
        <v>14608.68</v>
      </c>
      <c r="G85" s="21">
        <v>3698.79</v>
      </c>
      <c r="H85" s="25">
        <f t="shared" si="29"/>
        <v>10909.89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2:26" s="8" customFormat="1" hidden="1" outlineLevel="1">
      <c r="B86" s="9" t="str">
        <f>7790&amp;" - "&amp;"Annen kostnad m/fradrag"</f>
        <v>7790 - Annen kostnad m/fradrag</v>
      </c>
      <c r="C86" s="23"/>
      <c r="D86" s="44"/>
      <c r="E86" s="24"/>
      <c r="F86" s="22">
        <v>4295.5</v>
      </c>
      <c r="G86" s="21"/>
      <c r="H86" s="25">
        <f t="shared" si="29"/>
        <v>4295.5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2:26" s="6" customFormat="1" collapsed="1">
      <c r="B87" s="33" t="s">
        <v>16</v>
      </c>
      <c r="C87" s="41">
        <f t="shared" ref="C87:D87" si="30">C38+C43+C53+C56</f>
        <v>339121.3</v>
      </c>
      <c r="D87" s="42">
        <f t="shared" si="30"/>
        <v>8822705.0800000001</v>
      </c>
      <c r="E87" s="32"/>
      <c r="F87" s="45">
        <f t="shared" ref="F87:G87" si="31">F38+F43+F53+F56</f>
        <v>4123356.9499999997</v>
      </c>
      <c r="G87" s="40">
        <f t="shared" si="31"/>
        <v>8822705.0800000001</v>
      </c>
      <c r="H87" s="55">
        <f t="shared" ref="H87:H94" si="32">F87-G87</f>
        <v>-4699348.1300000008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6">
      <c r="B88" s="36"/>
      <c r="C88" s="18"/>
      <c r="D88" s="87"/>
      <c r="E88" s="16"/>
      <c r="F88" s="17"/>
      <c r="G88" s="19"/>
      <c r="H88" s="20">
        <f t="shared" si="32"/>
        <v>0</v>
      </c>
    </row>
    <row r="89" spans="2:26" s="6" customFormat="1" ht="15" thickBot="1">
      <c r="B89" s="48" t="s">
        <v>17</v>
      </c>
      <c r="C89" s="81">
        <f t="shared" ref="C89:D89" si="33">C36-C87</f>
        <v>-3816.2300000000396</v>
      </c>
      <c r="D89" s="84">
        <f t="shared" si="33"/>
        <v>-4893732.8899999997</v>
      </c>
      <c r="E89" s="32"/>
      <c r="F89" s="65">
        <f t="shared" ref="F89:G89" si="34">F36-F87</f>
        <v>1720897.65</v>
      </c>
      <c r="G89" s="75">
        <f t="shared" si="34"/>
        <v>-4893732.8899999997</v>
      </c>
      <c r="H89" s="88">
        <f t="shared" si="32"/>
        <v>6614630.5399999991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6" s="6" customFormat="1" ht="15" thickTop="1">
      <c r="B90" s="10"/>
      <c r="C90" s="18"/>
      <c r="D90" s="44"/>
      <c r="E90" s="16"/>
      <c r="F90" s="17"/>
      <c r="G90" s="19"/>
      <c r="H90" s="20">
        <f t="shared" si="32"/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6" s="6" customFormat="1">
      <c r="B91" s="10" t="s">
        <v>18</v>
      </c>
      <c r="C91" s="18">
        <f>SUM(OSRRefC29x_0)</f>
        <v>30362</v>
      </c>
      <c r="D91" s="44">
        <f>SUM(OSRRefD29x_0)</f>
        <v>39871.56</v>
      </c>
      <c r="E91" s="16"/>
      <c r="F91" s="17">
        <f>SUM(OSRRefF29x_0)</f>
        <v>30362</v>
      </c>
      <c r="G91" s="19">
        <f>SUM(OSRRefG29x_0)</f>
        <v>39871.56</v>
      </c>
      <c r="H91" s="20">
        <f t="shared" si="32"/>
        <v>-9509.5599999999977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6" s="8" customFormat="1" hidden="1" outlineLevel="1">
      <c r="B92" s="9" t="str">
        <f>8050&amp;" - "&amp;"Renteinntekt bankinnskudd"</f>
        <v>8050 - Renteinntekt bankinnskudd</v>
      </c>
      <c r="C92" s="23">
        <f>-30362*-1</f>
        <v>30362</v>
      </c>
      <c r="D92" s="44">
        <f>-39871.56*-1</f>
        <v>39871.56</v>
      </c>
      <c r="E92" s="24"/>
      <c r="F92" s="22">
        <f>-30362*-1</f>
        <v>30362</v>
      </c>
      <c r="G92" s="21">
        <f>-39871.56*-1</f>
        <v>39871.56</v>
      </c>
      <c r="H92" s="25">
        <f t="shared" si="32"/>
        <v>-9509.5599999999977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Z92" s="8" t="s">
        <v>19</v>
      </c>
    </row>
    <row r="93" spans="2:26" s="8" customFormat="1" hidden="1" outlineLevel="1">
      <c r="B93" s="9" t="str">
        <f>8059&amp;" - "&amp;"Annen renteinntekt"</f>
        <v>8059 - Annen renteinntekt</v>
      </c>
      <c r="C93" s="23">
        <f t="shared" ref="C93:D94" si="35">0*-1</f>
        <v>0</v>
      </c>
      <c r="D93" s="44">
        <f t="shared" si="35"/>
        <v>0</v>
      </c>
      <c r="E93" s="24"/>
      <c r="F93" s="22">
        <f t="shared" ref="F93:G94" si="36">0*-1</f>
        <v>0</v>
      </c>
      <c r="G93" s="21">
        <f t="shared" si="36"/>
        <v>0</v>
      </c>
      <c r="H93" s="25">
        <f t="shared" si="32"/>
        <v>0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Z93" s="8" t="s">
        <v>19</v>
      </c>
    </row>
    <row r="94" spans="2:26" s="8" customFormat="1" hidden="1" outlineLevel="1">
      <c r="B94" s="9" t="str">
        <f>8079&amp;" - "&amp;"Annen finansinntekt"</f>
        <v>8079 - Annen finansinntekt</v>
      </c>
      <c r="C94" s="23">
        <f t="shared" si="35"/>
        <v>0</v>
      </c>
      <c r="D94" s="44">
        <f t="shared" si="35"/>
        <v>0</v>
      </c>
      <c r="E94" s="24"/>
      <c r="F94" s="22">
        <f t="shared" si="36"/>
        <v>0</v>
      </c>
      <c r="G94" s="21">
        <f t="shared" si="36"/>
        <v>0</v>
      </c>
      <c r="H94" s="25">
        <f t="shared" si="32"/>
        <v>0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Z94" s="8" t="s">
        <v>19</v>
      </c>
    </row>
    <row r="95" spans="2:26" s="6" customFormat="1" collapsed="1">
      <c r="B95" s="10" t="s">
        <v>20</v>
      </c>
      <c r="C95" s="18">
        <f>SUM(OSRRefC31x_0)</f>
        <v>-31056</v>
      </c>
      <c r="D95" s="44">
        <f>SUM(OSRRefD31x_0)</f>
        <v>106965</v>
      </c>
      <c r="E95" s="16"/>
      <c r="F95" s="17">
        <f>SUM(OSRRefF31x_0)</f>
        <v>113279.52</v>
      </c>
      <c r="G95" s="19">
        <f>SUM(OSRRefG31x_0)</f>
        <v>106965</v>
      </c>
      <c r="H95" s="20">
        <f t="shared" ref="H95:H99" si="37">F95-G95</f>
        <v>6314.5200000000041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6" s="8" customFormat="1" hidden="1" outlineLevel="1">
      <c r="B96" s="9" t="str">
        <f>8150&amp;" - "&amp;"Annen rentekostnad"</f>
        <v>8150 - Annen rentekostnad</v>
      </c>
      <c r="C96" s="23"/>
      <c r="D96" s="44">
        <v>106965</v>
      </c>
      <c r="E96" s="24"/>
      <c r="F96" s="22"/>
      <c r="G96" s="21">
        <v>106965</v>
      </c>
      <c r="H96" s="20">
        <f t="shared" si="37"/>
        <v>-106965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2:51" s="8" customFormat="1" hidden="1" outlineLevel="1">
      <c r="B97" s="9" t="str">
        <f>8151&amp;" - "&amp;"Rentekostnad lån"</f>
        <v>8151 - Rentekostnad lån</v>
      </c>
      <c r="C97" s="23">
        <v>-31056</v>
      </c>
      <c r="D97" s="44"/>
      <c r="E97" s="24"/>
      <c r="F97" s="22">
        <v>113279.52</v>
      </c>
      <c r="G97" s="21"/>
      <c r="H97" s="20">
        <f t="shared" si="37"/>
        <v>113279.52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2:51" s="8" customFormat="1" hidden="1" outlineLevel="1">
      <c r="B98" s="9" t="str">
        <f>8155&amp;" - "&amp;"Rentekostnad leverandørgjeld"</f>
        <v>8155 - Rentekostnad leverandørgjeld</v>
      </c>
      <c r="C98" s="23"/>
      <c r="D98" s="44"/>
      <c r="E98" s="24"/>
      <c r="F98" s="22"/>
      <c r="G98" s="21"/>
      <c r="H98" s="20">
        <f t="shared" si="37"/>
        <v>0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2:51" s="8" customFormat="1" hidden="1" outlineLevel="1">
      <c r="B99" s="9" t="str">
        <f>8179&amp;" - "&amp;"Annen finanskostnad"</f>
        <v>8179 - Annen finanskostnad</v>
      </c>
      <c r="C99" s="23"/>
      <c r="D99" s="44"/>
      <c r="E99" s="24"/>
      <c r="F99" s="22"/>
      <c r="G99" s="21"/>
      <c r="H99" s="20">
        <f t="shared" si="37"/>
        <v>0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2:51" s="6" customFormat="1" collapsed="1">
      <c r="B100" s="33" t="s">
        <v>21</v>
      </c>
      <c r="C100" s="41">
        <f t="shared" ref="C100:D100" si="38">C89+C91-C95</f>
        <v>57601.76999999996</v>
      </c>
      <c r="D100" s="42">
        <f t="shared" si="38"/>
        <v>-4960826.33</v>
      </c>
      <c r="E100" s="32"/>
      <c r="F100" s="45">
        <f t="shared" ref="F100:G100" si="39">F89+F91-F95</f>
        <v>1637980.13</v>
      </c>
      <c r="G100" s="40">
        <f t="shared" si="39"/>
        <v>-4960826.33</v>
      </c>
      <c r="H100" s="67">
        <f>F100-G100</f>
        <v>6598806.46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51">
      <c r="B101" s="38"/>
      <c r="E101" s="32"/>
      <c r="H101" s="43"/>
    </row>
    <row r="102" spans="2:51" ht="15.5">
      <c r="B102" s="38"/>
      <c r="C102" s="38"/>
      <c r="D102" s="38"/>
      <c r="E102" s="59"/>
      <c r="F102" s="29"/>
      <c r="H102" s="74" t="s">
        <v>22</v>
      </c>
    </row>
    <row r="103" spans="2:51" ht="15" customHeight="1">
      <c r="B103" s="56" t="s">
        <v>23</v>
      </c>
      <c r="C103" s="117" t="s">
        <v>24</v>
      </c>
      <c r="D103" s="118"/>
      <c r="E103" s="32"/>
      <c r="F103" s="119" t="s">
        <v>25</v>
      </c>
      <c r="G103" s="120"/>
      <c r="H103" s="121"/>
    </row>
    <row r="104" spans="2:51">
      <c r="B104" s="37" t="s">
        <v>26</v>
      </c>
      <c r="C104" s="11">
        <f t="shared" ref="C104:D104" si="40">IF(ISERROR((C6-C38)/C6),"",((C6-C38)/C6))</f>
        <v>1</v>
      </c>
      <c r="D104" s="46">
        <f t="shared" si="40"/>
        <v>0.97519654011818424</v>
      </c>
      <c r="E104" s="32"/>
      <c r="F104" s="11">
        <f t="shared" ref="F104:G104" si="41">IF(ISERROR((F6-F38)/F6),"",((F6-F38)/F6))</f>
        <v>0.73570569057639457</v>
      </c>
      <c r="G104" s="51">
        <f t="shared" si="41"/>
        <v>0.97519654011818424</v>
      </c>
      <c r="H104" s="11"/>
    </row>
    <row r="105" spans="2:51">
      <c r="B105" s="37" t="s">
        <v>27</v>
      </c>
      <c r="C105" s="11">
        <f t="shared" ref="C105:D105" si="42">IF(ISERROR(C43/C6),"",(C43/C6))</f>
        <v>1.3552692468619245</v>
      </c>
      <c r="D105" s="46">
        <f t="shared" si="42"/>
        <v>0.23976636044561123</v>
      </c>
      <c r="E105" s="32"/>
      <c r="F105" s="11">
        <f t="shared" ref="F105:G105" si="43">IF(ISERROR(F43/F6),"",(F43/F6))</f>
        <v>0.587807394182009</v>
      </c>
      <c r="G105" s="51">
        <f t="shared" si="43"/>
        <v>0.23976636044561123</v>
      </c>
      <c r="H105" s="11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2:51">
      <c r="B106" s="37" t="s">
        <v>28</v>
      </c>
      <c r="C106" s="11">
        <f t="shared" ref="C106:D106" si="44">IF(ISERROR(C87/C6),"",(C87/C6))</f>
        <v>7.0945878661087862</v>
      </c>
      <c r="D106" s="46">
        <f t="shared" si="44"/>
        <v>11.074575480813374</v>
      </c>
      <c r="E106" s="32"/>
      <c r="F106" s="11">
        <f t="shared" ref="F106:G106" si="45">IF(ISERROR(F87/F6),"",(F87/F6))</f>
        <v>4.2349544800291214</v>
      </c>
      <c r="G106" s="51">
        <f t="shared" si="45"/>
        <v>11.074575480813374</v>
      </c>
      <c r="H106" s="11"/>
    </row>
    <row r="107" spans="2:51">
      <c r="B107" s="39" t="s">
        <v>29</v>
      </c>
      <c r="C107" s="26">
        <f t="shared" ref="C107:D107" si="46">IF(ISERROR(C100/C36),"",(C100/C36))</f>
        <v>0.17178914115435226</v>
      </c>
      <c r="D107" s="47">
        <f t="shared" si="46"/>
        <v>-1.2626269899864064</v>
      </c>
      <c r="E107" s="58"/>
      <c r="F107" s="26">
        <f t="shared" ref="F107:G107" si="47">IF(ISERROR(F100/F36),"",(F100/F36))</f>
        <v>0.28027186392598297</v>
      </c>
      <c r="G107" s="54">
        <f t="shared" si="47"/>
        <v>-1.2626269899864064</v>
      </c>
      <c r="H107" s="26"/>
    </row>
    <row r="108" spans="2:51" hidden="1">
      <c r="B108" s="37" t="s">
        <v>30</v>
      </c>
      <c r="C108" s="89"/>
      <c r="D108" s="46"/>
      <c r="E108" s="32"/>
      <c r="F108" s="11"/>
      <c r="G108" s="51"/>
      <c r="H108" s="68"/>
    </row>
    <row r="109" spans="2:51" hidden="1">
      <c r="B109" s="39" t="s">
        <v>31</v>
      </c>
      <c r="C109" s="78"/>
      <c r="D109" s="47"/>
      <c r="E109" s="32"/>
      <c r="F109" s="31" t="str">
        <f>IF(ISERROR(F100/(#REF!+#REF!)/2),"",(F100/(#REF!+#REF!)/2))</f>
        <v/>
      </c>
      <c r="G109" s="54"/>
      <c r="H109" s="31"/>
    </row>
    <row r="110" spans="2:51"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</row>
    <row r="111" spans="2:51" ht="15.5">
      <c r="B111" s="69" t="s">
        <v>32</v>
      </c>
      <c r="C111" s="50"/>
      <c r="D111" s="86"/>
      <c r="E111" s="50"/>
      <c r="F111" s="60"/>
      <c r="G111" s="52"/>
      <c r="H111" s="52"/>
      <c r="K111" s="43">
        <v>1</v>
      </c>
      <c r="L111" s="43">
        <v>2</v>
      </c>
      <c r="M111" s="43">
        <v>3</v>
      </c>
      <c r="N111" s="43">
        <v>4</v>
      </c>
      <c r="O111" s="43">
        <v>5</v>
      </c>
      <c r="P111" s="43">
        <v>6</v>
      </c>
      <c r="Q111" s="43">
        <v>7</v>
      </c>
      <c r="R111" s="43">
        <v>8</v>
      </c>
      <c r="S111" s="43">
        <v>9</v>
      </c>
      <c r="T111" s="43">
        <v>10</v>
      </c>
      <c r="U111" s="43">
        <v>11</v>
      </c>
      <c r="V111" s="43">
        <v>12</v>
      </c>
      <c r="X111" s="5"/>
    </row>
    <row r="112" spans="2:51">
      <c r="K112" s="43" t="s">
        <v>33</v>
      </c>
      <c r="L112" s="43" t="s">
        <v>34</v>
      </c>
      <c r="M112" s="43" t="s">
        <v>35</v>
      </c>
      <c r="N112" s="43" t="s">
        <v>36</v>
      </c>
      <c r="O112" s="43" t="s">
        <v>37</v>
      </c>
      <c r="P112" s="43" t="s">
        <v>38</v>
      </c>
      <c r="Q112" s="43" t="s">
        <v>39</v>
      </c>
      <c r="R112" s="43" t="s">
        <v>40</v>
      </c>
      <c r="S112" s="43" t="s">
        <v>41</v>
      </c>
      <c r="T112" s="43" t="s">
        <v>42</v>
      </c>
      <c r="U112" s="43" t="s">
        <v>43</v>
      </c>
      <c r="V112" s="43" t="s">
        <v>44</v>
      </c>
      <c r="X112" s="5"/>
    </row>
    <row r="113" spans="2:24">
      <c r="J113" s="43" t="s">
        <v>45</v>
      </c>
      <c r="K113" s="15">
        <f>46676.18*-1</f>
        <v>-46676.18</v>
      </c>
      <c r="L113" s="15">
        <f>49803.99*-1</f>
        <v>-49803.99</v>
      </c>
      <c r="M113" s="15">
        <f>83721.63*-1</f>
        <v>-83721.63</v>
      </c>
      <c r="N113" s="15">
        <f>-229548.75*-1</f>
        <v>229548.75</v>
      </c>
      <c r="O113" s="15">
        <f>505016.27*-1</f>
        <v>-505016.27</v>
      </c>
      <c r="P113" s="15">
        <f>-1814306.72*-1</f>
        <v>1814306.72</v>
      </c>
      <c r="Q113" s="15">
        <f>-15675.62*-1</f>
        <v>15675.62</v>
      </c>
      <c r="R113" s="15">
        <f>-156057.78*-1</f>
        <v>156057.78</v>
      </c>
      <c r="S113" s="15">
        <f>-93328.24*-1</f>
        <v>93328.24</v>
      </c>
      <c r="T113" s="15">
        <f>124857.24*-1</f>
        <v>-124857.24</v>
      </c>
      <c r="U113" s="15">
        <f>-81536.56*-1</f>
        <v>81536.56</v>
      </c>
      <c r="V113" s="15">
        <f>-57601.77*-1</f>
        <v>57601.77</v>
      </c>
      <c r="X113" s="5"/>
    </row>
    <row r="114" spans="2:24">
      <c r="J114" s="43" t="s">
        <v>46</v>
      </c>
      <c r="K114" s="15">
        <f t="shared" ref="K114:U114" si="48">0*-1</f>
        <v>0</v>
      </c>
      <c r="L114" s="15">
        <f t="shared" si="48"/>
        <v>0</v>
      </c>
      <c r="M114" s="15">
        <f t="shared" si="48"/>
        <v>0</v>
      </c>
      <c r="N114" s="15">
        <f t="shared" si="48"/>
        <v>0</v>
      </c>
      <c r="O114" s="15">
        <f t="shared" si="48"/>
        <v>0</v>
      </c>
      <c r="P114" s="15">
        <f t="shared" si="48"/>
        <v>0</v>
      </c>
      <c r="Q114" s="15">
        <f t="shared" si="48"/>
        <v>0</v>
      </c>
      <c r="R114" s="15">
        <f t="shared" si="48"/>
        <v>0</v>
      </c>
      <c r="S114" s="15">
        <f t="shared" si="48"/>
        <v>0</v>
      </c>
      <c r="T114" s="15">
        <f t="shared" si="48"/>
        <v>0</v>
      </c>
      <c r="U114" s="15">
        <f t="shared" si="48"/>
        <v>0</v>
      </c>
      <c r="V114" s="15">
        <f>4960826.33*-1</f>
        <v>-4960826.33</v>
      </c>
      <c r="X114" s="5"/>
    </row>
    <row r="115" spans="2:24">
      <c r="J115" s="43" t="s">
        <v>47</v>
      </c>
      <c r="K115" s="43">
        <f>K113-K114</f>
        <v>-46676.18</v>
      </c>
      <c r="L115" s="43">
        <f t="shared" ref="L115:V115" si="49">(L113-L114)+K115</f>
        <v>-96480.17</v>
      </c>
      <c r="M115" s="43">
        <f t="shared" si="49"/>
        <v>-180201.8</v>
      </c>
      <c r="N115" s="43">
        <f t="shared" si="49"/>
        <v>49346.950000000012</v>
      </c>
      <c r="O115" s="43">
        <f t="shared" si="49"/>
        <v>-455669.32</v>
      </c>
      <c r="P115" s="43">
        <f t="shared" si="49"/>
        <v>1358637.4</v>
      </c>
      <c r="Q115" s="43">
        <f t="shared" si="49"/>
        <v>1374313.02</v>
      </c>
      <c r="R115" s="43">
        <f t="shared" si="49"/>
        <v>1530370.8</v>
      </c>
      <c r="S115" s="43">
        <f t="shared" si="49"/>
        <v>1623699.04</v>
      </c>
      <c r="T115" s="43">
        <f t="shared" si="49"/>
        <v>1498841.8</v>
      </c>
      <c r="U115" s="43">
        <f t="shared" si="49"/>
        <v>1580378.36</v>
      </c>
      <c r="V115" s="43">
        <f t="shared" si="49"/>
        <v>6598806.46</v>
      </c>
      <c r="X115" s="5"/>
    </row>
    <row r="116" spans="2:24">
      <c r="X116" s="5"/>
    </row>
    <row r="117" spans="2:24">
      <c r="X117" s="5"/>
    </row>
    <row r="118" spans="2:24">
      <c r="X118" s="5"/>
    </row>
    <row r="119" spans="2:24">
      <c r="K119" s="43" t="s">
        <v>33</v>
      </c>
      <c r="L119" s="43" t="s">
        <v>34</v>
      </c>
      <c r="M119" s="43" t="s">
        <v>35</v>
      </c>
      <c r="N119" s="43" t="s">
        <v>36</v>
      </c>
      <c r="O119" s="43" t="s">
        <v>37</v>
      </c>
      <c r="P119" s="43" t="s">
        <v>38</v>
      </c>
      <c r="Q119" s="43" t="s">
        <v>39</v>
      </c>
      <c r="R119" s="43" t="s">
        <v>40</v>
      </c>
      <c r="S119" s="43" t="s">
        <v>41</v>
      </c>
      <c r="T119" s="43" t="s">
        <v>42</v>
      </c>
      <c r="U119" s="43" t="s">
        <v>43</v>
      </c>
      <c r="V119" s="43" t="s">
        <v>44</v>
      </c>
      <c r="X119" s="5"/>
    </row>
    <row r="120" spans="2:24">
      <c r="J120" s="43" t="s">
        <v>48</v>
      </c>
      <c r="K120" s="14">
        <f t="shared" ref="K120:V120" si="50">IF(K111&lt;($C$2+1),K113,0)</f>
        <v>-46676.18</v>
      </c>
      <c r="L120" s="14">
        <f t="shared" si="50"/>
        <v>-49803.99</v>
      </c>
      <c r="M120" s="14">
        <f t="shared" si="50"/>
        <v>-83721.63</v>
      </c>
      <c r="N120" s="14">
        <f t="shared" si="50"/>
        <v>229548.75</v>
      </c>
      <c r="O120" s="14">
        <f t="shared" si="50"/>
        <v>-505016.27</v>
      </c>
      <c r="P120" s="14">
        <f t="shared" si="50"/>
        <v>1814306.72</v>
      </c>
      <c r="Q120" s="14">
        <f t="shared" si="50"/>
        <v>15675.62</v>
      </c>
      <c r="R120" s="14">
        <f t="shared" si="50"/>
        <v>156057.78</v>
      </c>
      <c r="S120" s="14">
        <f t="shared" si="50"/>
        <v>93328.24</v>
      </c>
      <c r="T120" s="14">
        <f t="shared" si="50"/>
        <v>-124857.24</v>
      </c>
      <c r="U120" s="14">
        <f t="shared" si="50"/>
        <v>81536.56</v>
      </c>
      <c r="V120" s="14">
        <f t="shared" si="50"/>
        <v>57601.77</v>
      </c>
      <c r="X120" s="5"/>
    </row>
    <row r="121" spans="2:24">
      <c r="J121" s="43" t="s">
        <v>49</v>
      </c>
      <c r="K121" s="14">
        <f t="shared" ref="K121:V121" si="51">IF(K111&lt;($C$2+1),K114,0)</f>
        <v>0</v>
      </c>
      <c r="L121" s="14">
        <f t="shared" si="51"/>
        <v>0</v>
      </c>
      <c r="M121" s="14">
        <f t="shared" si="51"/>
        <v>0</v>
      </c>
      <c r="N121" s="14">
        <f t="shared" si="51"/>
        <v>0</v>
      </c>
      <c r="O121" s="14">
        <f t="shared" si="51"/>
        <v>0</v>
      </c>
      <c r="P121" s="14">
        <f t="shared" si="51"/>
        <v>0</v>
      </c>
      <c r="Q121" s="14">
        <f t="shared" si="51"/>
        <v>0</v>
      </c>
      <c r="R121" s="14">
        <f t="shared" si="51"/>
        <v>0</v>
      </c>
      <c r="S121" s="14">
        <f t="shared" si="51"/>
        <v>0</v>
      </c>
      <c r="T121" s="14">
        <f t="shared" si="51"/>
        <v>0</v>
      </c>
      <c r="U121" s="14">
        <f t="shared" si="51"/>
        <v>0</v>
      </c>
      <c r="V121" s="14">
        <f t="shared" si="51"/>
        <v>-4960826.33</v>
      </c>
    </row>
    <row r="122" spans="2:24" ht="15.5">
      <c r="B122" s="34"/>
      <c r="C122" s="34"/>
      <c r="D122" s="34"/>
      <c r="E122" s="34"/>
      <c r="F122" s="34"/>
      <c r="J122" s="43" t="s">
        <v>50</v>
      </c>
      <c r="K122" s="14">
        <f t="shared" ref="K122:V122" si="52">IF(K111&lt;($C$2+1),K115,NA())</f>
        <v>-46676.18</v>
      </c>
      <c r="L122" s="14">
        <f t="shared" si="52"/>
        <v>-96480.17</v>
      </c>
      <c r="M122" s="14">
        <f t="shared" si="52"/>
        <v>-180201.8</v>
      </c>
      <c r="N122" s="14">
        <f t="shared" si="52"/>
        <v>49346.950000000012</v>
      </c>
      <c r="O122" s="14">
        <f t="shared" si="52"/>
        <v>-455669.32</v>
      </c>
      <c r="P122" s="14">
        <f t="shared" si="52"/>
        <v>1358637.4</v>
      </c>
      <c r="Q122" s="14">
        <f t="shared" si="52"/>
        <v>1374313.02</v>
      </c>
      <c r="R122" s="14">
        <f t="shared" si="52"/>
        <v>1530370.8</v>
      </c>
      <c r="S122" s="14">
        <f t="shared" si="52"/>
        <v>1623699.04</v>
      </c>
      <c r="T122" s="14">
        <f t="shared" si="52"/>
        <v>1498841.8</v>
      </c>
      <c r="U122" s="14">
        <f t="shared" si="52"/>
        <v>1580378.36</v>
      </c>
      <c r="V122" s="14">
        <f t="shared" si="52"/>
        <v>6598806.46</v>
      </c>
    </row>
    <row r="123" spans="2:24" ht="15.5">
      <c r="B123" s="34"/>
      <c r="C123" s="34"/>
      <c r="D123" s="34"/>
      <c r="E123" s="34"/>
      <c r="F123" s="34"/>
    </row>
    <row r="128" spans="2:24"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</sheetData>
  <mergeCells count="8">
    <mergeCell ref="Z110:AL110"/>
    <mergeCell ref="AN110:AY110"/>
    <mergeCell ref="G2:H2"/>
    <mergeCell ref="B4:B5"/>
    <mergeCell ref="C4:D4"/>
    <mergeCell ref="F4:G4"/>
    <mergeCell ref="C103:D103"/>
    <mergeCell ref="F103:H103"/>
  </mergeCells>
  <pageMargins left="0.25" right="0.25" top="0.75" bottom="0.75" header="0.3" footer="0.3"/>
  <pageSetup paperSize="9" scale="96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60"/>
  <sheetViews>
    <sheetView showGridLines="0" topLeftCell="B1" workbookViewId="0"/>
  </sheetViews>
  <sheetFormatPr baseColWidth="10" defaultColWidth="11.453125" defaultRowHeight="14.5" outlineLevelRow="1"/>
  <cols>
    <col min="1" max="1" width="1.54296875" hidden="1" customWidth="1"/>
    <col min="2" max="2" width="38.36328125" customWidth="1"/>
    <col min="3" max="4" width="13.08984375" customWidth="1"/>
    <col min="5" max="5" width="2.6328125" customWidth="1"/>
    <col min="6" max="6" width="12.36328125" customWidth="1"/>
    <col min="7" max="7" width="11.453125" customWidth="1"/>
    <col min="8" max="8" width="14.36328125" customWidth="1"/>
    <col min="9" max="9" width="11.453125" style="43"/>
    <col min="10" max="10" width="27" style="43" customWidth="1"/>
    <col min="11" max="22" width="11.453125" style="43" customWidth="1"/>
    <col min="23" max="23" width="11.453125" style="43"/>
  </cols>
  <sheetData>
    <row r="1" spans="2:23" ht="21">
      <c r="B1" s="57" t="e">
        <f ca="1">_xll.OneStop.ReportPlayer.OSRFunctions.OSRGet("ThisCompany","Nm")</f>
        <v>#NAME?</v>
      </c>
      <c r="C1" s="79"/>
      <c r="D1" s="35"/>
      <c r="E1" s="35"/>
      <c r="F1" s="35"/>
      <c r="G1" s="35"/>
      <c r="H1" s="35"/>
    </row>
    <row r="2" spans="2:23" ht="21">
      <c r="B2" s="49" t="s">
        <v>53</v>
      </c>
      <c r="C2" s="63" t="e">
        <f ca="1">_xll.OneStop.ReportPlayer.OSRFunctions.OSRGet("Period","FiscPer")</f>
        <v>#NAME?</v>
      </c>
      <c r="D2" s="35"/>
      <c r="E2" s="35"/>
      <c r="F2" s="35"/>
      <c r="G2" s="111" t="e">
        <f ca="1">_xll.OneStop.ReportPlayer.OSRFunctions.OSRGet("Period","EndDate")</f>
        <v>#NAME?</v>
      </c>
      <c r="H2" s="111"/>
    </row>
    <row r="3" spans="2:23">
      <c r="B3" s="53"/>
      <c r="C3" s="62"/>
    </row>
    <row r="4" spans="2:23" ht="15.5">
      <c r="B4" s="112" t="s">
        <v>0</v>
      </c>
      <c r="C4" s="114" t="s">
        <v>1</v>
      </c>
      <c r="D4" s="115"/>
      <c r="E4" s="66"/>
      <c r="F4" s="116" t="s">
        <v>2</v>
      </c>
      <c r="G4" s="114"/>
      <c r="H4" s="83" t="s">
        <v>3</v>
      </c>
    </row>
    <row r="5" spans="2:23" ht="15.5">
      <c r="B5" s="113" t="s">
        <v>0</v>
      </c>
      <c r="C5" s="70" t="s">
        <v>51</v>
      </c>
      <c r="D5" s="71" t="s">
        <v>52</v>
      </c>
      <c r="E5" s="82"/>
      <c r="F5" s="77" t="s">
        <v>4</v>
      </c>
      <c r="G5" s="61" t="s">
        <v>5</v>
      </c>
      <c r="H5" s="76" t="s">
        <v>6</v>
      </c>
    </row>
    <row r="6" spans="2:23" s="6" customFormat="1">
      <c r="B6" s="10" t="s">
        <v>7</v>
      </c>
      <c r="C6" s="18" t="e">
        <f ca="1">SUM(_xll.OneStop.ReportPlayer.OSRFunctions.OSRRef(C7))</f>
        <v>#NAME?</v>
      </c>
      <c r="D6" s="44" t="e">
        <f ca="1">SUM(_xll.OneStop.ReportPlayer.OSRFunctions.OSRRef(D7))</f>
        <v>#NAME?</v>
      </c>
      <c r="E6" s="16"/>
      <c r="F6" s="17" t="e">
        <f ca="1">SUM(_xll.OneStop.ReportPlayer.OSRFunctions.OSRRef(F7))</f>
        <v>#NAME?</v>
      </c>
      <c r="G6" s="19" t="e">
        <f ca="1">SUM(_xll.OneStop.ReportPlayer.OSRFunctions.OSRRef(G7))</f>
        <v>#NAME?</v>
      </c>
      <c r="H6" s="20" t="e">
        <f t="shared" ref="H6:H32" ca="1" si="0">F6-G6</f>
        <v>#NAME?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8" customFormat="1" hidden="1" outlineLevel="1">
      <c r="B7" s="9" t="e">
        <f ca="1">_xll.OneStop.ReportPlayer.OSRFunctions.OSRGet("Account","AcNo")&amp;" - "&amp;_xll.OneStop.ReportPlayer.OSRFunctions.OSRGet("Account","Nm")</f>
        <v>#NAME?</v>
      </c>
      <c r="C7" s="23" t="e">
        <f ca="1">_xll.OneStop.ReportPlayer.OSRFunctions.OSRGet("ActualTransaction","AcAm")*-1</f>
        <v>#NAME?</v>
      </c>
      <c r="D7" s="44" t="e">
        <f ca="1">_xll.OneStop.ReportPlayer.OSRFunctions.OSRGet("ActualTransaction","AcAm")*-1</f>
        <v>#NAME?</v>
      </c>
      <c r="E7" s="24"/>
      <c r="F7" s="22" t="e">
        <f ca="1">_xll.OneStop.ReportPlayer.OSRFunctions.OSRGet("ActualTransaction","AcAm")*-1</f>
        <v>#NAME?</v>
      </c>
      <c r="G7" s="21" t="e">
        <f ca="1">_xll.OneStop.ReportPlayer.OSRFunctions.OSRGet("ActualTransaction","AcAm")*-1</f>
        <v>#NAME?</v>
      </c>
      <c r="H7" s="25" t="e">
        <f t="shared" ca="1" si="0"/>
        <v>#NAME?</v>
      </c>
      <c r="I7" s="2"/>
      <c r="J7" s="2"/>
      <c r="K7" s="2" t="e">
        <f ca="1">_xll.OneStop.ReportPlayer.OSRFunctions.OSRGet("ActualTransaction","AcAm")*-1</f>
        <v>#NAME?</v>
      </c>
      <c r="L7" s="2" t="e">
        <f ca="1">_xll.OneStop.ReportPlayer.OSRFunctions.OSRGet("ActualTransaction","AcAm")*-1</f>
        <v>#NAME?</v>
      </c>
      <c r="M7" s="2" t="e">
        <f ca="1">_xll.OneStop.ReportPlayer.OSRFunctions.OSRGet("ActualTransaction","AcAm")*-1</f>
        <v>#NAME?</v>
      </c>
      <c r="N7" s="2" t="e">
        <f ca="1">_xll.OneStop.ReportPlayer.OSRFunctions.OSRGet("ActualTransaction","AcAm")*-1</f>
        <v>#NAME?</v>
      </c>
      <c r="O7" s="2" t="e">
        <f ca="1">_xll.OneStop.ReportPlayer.OSRFunctions.OSRGet("ActualTransaction","AcAm")*-1</f>
        <v>#NAME?</v>
      </c>
      <c r="P7" s="2" t="e">
        <f ca="1">_xll.OneStop.ReportPlayer.OSRFunctions.OSRGet("ActualTransaction","AcAm")*-1</f>
        <v>#NAME?</v>
      </c>
      <c r="Q7" s="2" t="e">
        <f ca="1">_xll.OneStop.ReportPlayer.OSRFunctions.OSRGet("ActualTransaction","AcAm")*-1</f>
        <v>#NAME?</v>
      </c>
      <c r="R7" s="2" t="e">
        <f ca="1">_xll.OneStop.ReportPlayer.OSRFunctions.OSRGet("ActualTransaction","AcAm")*-1</f>
        <v>#NAME?</v>
      </c>
      <c r="S7" s="2" t="e">
        <f ca="1">_xll.OneStop.ReportPlayer.OSRFunctions.OSRGet("ActualTransaction","AcAm")*-1</f>
        <v>#NAME?</v>
      </c>
      <c r="T7" s="2" t="e">
        <f ca="1">_xll.OneStop.ReportPlayer.OSRFunctions.OSRGet("ActualTransaction","AcAm")*-1</f>
        <v>#NAME?</v>
      </c>
      <c r="U7" s="2" t="e">
        <f ca="1">_xll.OneStop.ReportPlayer.OSRFunctions.OSRGet("ActualTransaction","AcAm")*-1</f>
        <v>#NAME?</v>
      </c>
      <c r="V7" s="2" t="e">
        <f ca="1">_xll.OneStop.ReportPlayer.OSRFunctions.OSRGet("ActualTransaction","AcAm")*-1</f>
        <v>#NAME?</v>
      </c>
      <c r="W7" s="2"/>
    </row>
    <row r="8" spans="2:23" s="6" customFormat="1" collapsed="1">
      <c r="B8" s="10" t="s">
        <v>8</v>
      </c>
      <c r="C8" s="18" t="e">
        <f ca="1">SUM(_xll.OneStop.ReportPlayer.OSRFunctions.OSRRef(C9))</f>
        <v>#NAME?</v>
      </c>
      <c r="D8" s="44" t="e">
        <f ca="1">SUM(_xll.OneStop.ReportPlayer.OSRFunctions.OSRRef(D9))</f>
        <v>#NAME?</v>
      </c>
      <c r="E8" s="16"/>
      <c r="F8" s="17" t="e">
        <f ca="1">SUM(_xll.OneStop.ReportPlayer.OSRFunctions.OSRRef(F9))</f>
        <v>#NAME?</v>
      </c>
      <c r="G8" s="19" t="e">
        <f ca="1">SUM(_xll.OneStop.ReportPlayer.OSRFunctions.OSRRef(G9))</f>
        <v>#NAME?</v>
      </c>
      <c r="H8" s="20" t="e">
        <f t="shared" ca="1" si="0"/>
        <v>#NAME?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2:23" s="8" customFormat="1" hidden="1" outlineLevel="1">
      <c r="B9" s="9" t="e">
        <f ca="1">_xll.OneStop.ReportPlayer.OSRFunctions.OSRGet("Account","AcNo")&amp;" - "&amp;_xll.OneStop.ReportPlayer.OSRFunctions.OSRGet("Account","Nm")</f>
        <v>#NAME?</v>
      </c>
      <c r="C9" s="23" t="e">
        <f ca="1">_xll.OneStop.ReportPlayer.OSRFunctions.OSRGet("ActualTransaction","AcAm")*-1</f>
        <v>#NAME?</v>
      </c>
      <c r="D9" s="44" t="e">
        <f ca="1">_xll.OneStop.ReportPlayer.OSRFunctions.OSRGet("ActualTransaction","AcAm")*-1</f>
        <v>#NAME?</v>
      </c>
      <c r="E9" s="24"/>
      <c r="F9" s="22" t="e">
        <f ca="1">_xll.OneStop.ReportPlayer.OSRFunctions.OSRGet("ActualTransaction","AcAm")*-1</f>
        <v>#NAME?</v>
      </c>
      <c r="G9" s="21" t="e">
        <f ca="1">_xll.OneStop.ReportPlayer.OSRFunctions.OSRGet("ActualTransaction","AcAm")*-1</f>
        <v>#NAME?</v>
      </c>
      <c r="H9" s="25" t="e">
        <f t="shared" ca="1" si="0"/>
        <v>#NAME?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2:23" s="6" customFormat="1" collapsed="1">
      <c r="B10" s="10" t="s">
        <v>9</v>
      </c>
      <c r="C10" s="18" t="e">
        <f ca="1">SUM(_xll.OneStop.ReportPlayer.OSRFunctions.OSRRef(C11))</f>
        <v>#NAME?</v>
      </c>
      <c r="D10" s="44" t="e">
        <f ca="1">SUM(_xll.OneStop.ReportPlayer.OSRFunctions.OSRRef(D11))</f>
        <v>#NAME?</v>
      </c>
      <c r="E10" s="16"/>
      <c r="F10" s="17" t="e">
        <f ca="1">SUM(_xll.OneStop.ReportPlayer.OSRFunctions.OSRRef(F11))</f>
        <v>#NAME?</v>
      </c>
      <c r="G10" s="19" t="e">
        <f ca="1">SUM(_xll.OneStop.ReportPlayer.OSRFunctions.OSRRef(G11))</f>
        <v>#NAME?</v>
      </c>
      <c r="H10" s="20" t="e">
        <f t="shared" ca="1" si="0"/>
        <v>#NAME?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2:23" s="8" customFormat="1" hidden="1" outlineLevel="1">
      <c r="B11" s="9" t="e">
        <f ca="1">_xll.OneStop.ReportPlayer.OSRFunctions.OSRGet("Account","AcNo")&amp;" - "&amp;_xll.OneStop.ReportPlayer.OSRFunctions.OSRGet("Account","Nm")</f>
        <v>#NAME?</v>
      </c>
      <c r="C11" s="23" t="e">
        <f ca="1">_xll.OneStop.ReportPlayer.OSRFunctions.OSRGet("ActualTransaction","AcAm")*-1</f>
        <v>#NAME?</v>
      </c>
      <c r="D11" s="44" t="e">
        <f ca="1">_xll.OneStop.ReportPlayer.OSRFunctions.OSRGet("ActualTransaction","AcAm")*-1</f>
        <v>#NAME?</v>
      </c>
      <c r="E11" s="24"/>
      <c r="F11" s="22" t="e">
        <f ca="1">_xll.OneStop.ReportPlayer.OSRFunctions.OSRGet("ActualTransaction","AcAm")*-1</f>
        <v>#NAME?</v>
      </c>
      <c r="G11" s="21" t="e">
        <f ca="1">_xll.OneStop.ReportPlayer.OSRFunctions.OSRGet("ActualTransaction","AcAm")*-1</f>
        <v>#NAME?</v>
      </c>
      <c r="H11" s="25" t="e">
        <f t="shared" ca="1" si="0"/>
        <v>#NAME?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2:23" s="6" customFormat="1" collapsed="1">
      <c r="B12" s="10" t="s">
        <v>10</v>
      </c>
      <c r="C12" s="18" t="e">
        <f ca="1">SUM(_xll.OneStop.ReportPlayer.OSRFunctions.OSRRef(C13))</f>
        <v>#NAME?</v>
      </c>
      <c r="D12" s="44" t="e">
        <f ca="1">SUM(_xll.OneStop.ReportPlayer.OSRFunctions.OSRRef(D13))</f>
        <v>#NAME?</v>
      </c>
      <c r="E12" s="16"/>
      <c r="F12" s="17" t="e">
        <f ca="1">SUM(_xll.OneStop.ReportPlayer.OSRFunctions.OSRRef(F13))</f>
        <v>#NAME?</v>
      </c>
      <c r="G12" s="19" t="e">
        <f ca="1">SUM(_xll.OneStop.ReportPlayer.OSRFunctions.OSRRef(G13))</f>
        <v>#NAME?</v>
      </c>
      <c r="H12" s="20" t="e">
        <f t="shared" ca="1" si="0"/>
        <v>#NAME?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2:23" s="8" customFormat="1" hidden="1" outlineLevel="1">
      <c r="B13" s="9" t="e">
        <f ca="1">_xll.OneStop.ReportPlayer.OSRFunctions.OSRGet("Account","AcNo")&amp;" - "&amp;_xll.OneStop.ReportPlayer.OSRFunctions.OSRGet("Account","Nm")</f>
        <v>#NAME?</v>
      </c>
      <c r="C13" s="23" t="e">
        <f ca="1">_xll.OneStop.ReportPlayer.OSRFunctions.OSRGet("ActualTransaction","AcAm")*-1</f>
        <v>#NAME?</v>
      </c>
      <c r="D13" s="44" t="e">
        <f ca="1">_xll.OneStop.ReportPlayer.OSRFunctions.OSRGet("ActualTransaction","AcAm")*-1</f>
        <v>#NAME?</v>
      </c>
      <c r="E13" s="24"/>
      <c r="F13" s="22" t="e">
        <f ca="1">_xll.OneStop.ReportPlayer.OSRFunctions.OSRGet("ActualTransaction","AcAm")*-1</f>
        <v>#NAME?</v>
      </c>
      <c r="G13" s="21" t="e">
        <f ca="1">_xll.OneStop.ReportPlayer.OSRFunctions.OSRGet("ActualTransaction","AcAm")*-1</f>
        <v>#NAME?</v>
      </c>
      <c r="H13" s="25" t="e">
        <f t="shared" ca="1" si="0"/>
        <v>#NAME?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2:23" s="6" customFormat="1" collapsed="1">
      <c r="B14" s="33" t="s">
        <v>11</v>
      </c>
      <c r="C14" s="41" t="e">
        <f t="shared" ref="C14:D14" ca="1" si="1">C6+C8+C10+C12</f>
        <v>#NAME?</v>
      </c>
      <c r="D14" s="42" t="e">
        <f t="shared" ca="1" si="1"/>
        <v>#NAME?</v>
      </c>
      <c r="E14" s="32"/>
      <c r="F14" s="45" t="e">
        <f t="shared" ref="F14:G14" ca="1" si="2">F6+F8+F10+F12</f>
        <v>#NAME?</v>
      </c>
      <c r="G14" s="40" t="e">
        <f t="shared" ca="1" si="2"/>
        <v>#NAME?</v>
      </c>
      <c r="H14" s="55" t="e">
        <f t="shared" ca="1" si="0"/>
        <v>#NAME?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2:23">
      <c r="B15" s="36"/>
      <c r="C15" s="18"/>
      <c r="D15" s="44"/>
      <c r="E15" s="16"/>
      <c r="F15" s="17"/>
      <c r="G15" s="19"/>
      <c r="H15" s="20">
        <f t="shared" si="0"/>
        <v>0</v>
      </c>
    </row>
    <row r="16" spans="2:23" s="6" customFormat="1">
      <c r="B16" s="10" t="s">
        <v>12</v>
      </c>
      <c r="C16" s="18" t="e">
        <f ca="1">SUM(_xll.OneStop.ReportPlayer.OSRFunctions.OSRRef(C17))</f>
        <v>#NAME?</v>
      </c>
      <c r="D16" s="44" t="e">
        <f ca="1">SUM(_xll.OneStop.ReportPlayer.OSRFunctions.OSRRef(D17))</f>
        <v>#NAME?</v>
      </c>
      <c r="E16" s="16"/>
      <c r="F16" s="17" t="e">
        <f ca="1">SUM(_xll.OneStop.ReportPlayer.OSRFunctions.OSRRef(F17))</f>
        <v>#NAME?</v>
      </c>
      <c r="G16" s="19" t="e">
        <f ca="1">SUM(_xll.OneStop.ReportPlayer.OSRFunctions.OSRRef(G17))</f>
        <v>#NAME?</v>
      </c>
      <c r="H16" s="20" t="e">
        <f t="shared" ca="1" si="0"/>
        <v>#NAME?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6" s="8" customFormat="1" hidden="1" outlineLevel="1">
      <c r="B17" s="9" t="e">
        <f ca="1">_xll.OneStop.ReportPlayer.OSRFunctions.OSRGet("Account","AcNo")&amp;" - "&amp;_xll.OneStop.ReportPlayer.OSRFunctions.OSRGet("Account","Nm")</f>
        <v>#NAME?</v>
      </c>
      <c r="C17" s="23" t="e">
        <f ca="1">_xll.OneStop.ReportPlayer.OSRFunctions.OSRGet("ActualTransaction","AcAm")</f>
        <v>#NAME?</v>
      </c>
      <c r="D17" s="44" t="e">
        <f ca="1">_xll.OneStop.ReportPlayer.OSRFunctions.OSRGet("ActualTransaction","AcAm")</f>
        <v>#NAME?</v>
      </c>
      <c r="E17" s="24"/>
      <c r="F17" s="22" t="e">
        <f ca="1">_xll.OneStop.ReportPlayer.OSRFunctions.OSRGet("ActualTransaction","AcAm")</f>
        <v>#NAME?</v>
      </c>
      <c r="G17" s="21" t="e">
        <f ca="1">_xll.OneStop.ReportPlayer.OSRFunctions.OSRGet("ActualTransaction","AcAm")</f>
        <v>#NAME?</v>
      </c>
      <c r="H17" s="25" t="e">
        <f t="shared" ca="1" si="0"/>
        <v>#NAME?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2:26" s="6" customFormat="1" collapsed="1">
      <c r="B18" s="10" t="s">
        <v>13</v>
      </c>
      <c r="C18" s="18" t="e">
        <f ca="1">SUM(_xll.OneStop.ReportPlayer.OSRFunctions.OSRRef(C19))</f>
        <v>#NAME?</v>
      </c>
      <c r="D18" s="44" t="e">
        <f ca="1">SUM(_xll.OneStop.ReportPlayer.OSRFunctions.OSRRef(D19))</f>
        <v>#NAME?</v>
      </c>
      <c r="E18" s="16"/>
      <c r="F18" s="17" t="e">
        <f ca="1">SUM(_xll.OneStop.ReportPlayer.OSRFunctions.OSRRef(F19))</f>
        <v>#NAME?</v>
      </c>
      <c r="G18" s="19" t="e">
        <f ca="1">SUM(_xll.OneStop.ReportPlayer.OSRFunctions.OSRRef(G19))</f>
        <v>#NAME?</v>
      </c>
      <c r="H18" s="20" t="e">
        <f t="shared" ca="1" si="0"/>
        <v>#NAME?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6" s="8" customFormat="1" hidden="1" outlineLevel="1">
      <c r="B19" s="9" t="e">
        <f ca="1">_xll.OneStop.ReportPlayer.OSRFunctions.OSRGet("Account","AcNo")&amp;" - "&amp;_xll.OneStop.ReportPlayer.OSRFunctions.OSRGet("Account","Nm")</f>
        <v>#NAME?</v>
      </c>
      <c r="C19" s="23" t="e">
        <f ca="1">_xll.OneStop.ReportPlayer.OSRFunctions.OSRGet("ActualTransaction","AcAm")</f>
        <v>#NAME?</v>
      </c>
      <c r="D19" s="44" t="e">
        <f ca="1">_xll.OneStop.ReportPlayer.OSRFunctions.OSRGet("ActualTransaction","AcAm")</f>
        <v>#NAME?</v>
      </c>
      <c r="E19" s="24"/>
      <c r="F19" s="22" t="e">
        <f ca="1">_xll.OneStop.ReportPlayer.OSRFunctions.OSRGet("ActualTransaction","AcAm")</f>
        <v>#NAME?</v>
      </c>
      <c r="G19" s="21" t="e">
        <f ca="1">_xll.OneStop.ReportPlayer.OSRFunctions.OSRGet("ActualTransaction","AcAm")</f>
        <v>#NAME?</v>
      </c>
      <c r="H19" s="25" t="e">
        <f t="shared" ca="1" si="0"/>
        <v>#NAME?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6" s="6" customFormat="1" collapsed="1">
      <c r="B20" s="10" t="s">
        <v>14</v>
      </c>
      <c r="C20" s="18" t="e">
        <f ca="1">SUM(_xll.OneStop.ReportPlayer.OSRFunctions.OSRRef(C21))</f>
        <v>#NAME?</v>
      </c>
      <c r="D20" s="44" t="e">
        <f ca="1">SUM(_xll.OneStop.ReportPlayer.OSRFunctions.OSRRef(D21))</f>
        <v>#NAME?</v>
      </c>
      <c r="E20" s="16"/>
      <c r="F20" s="17" t="e">
        <f ca="1">SUM(_xll.OneStop.ReportPlayer.OSRFunctions.OSRRef(F21))</f>
        <v>#NAME?</v>
      </c>
      <c r="G20" s="19" t="e">
        <f ca="1">SUM(_xll.OneStop.ReportPlayer.OSRFunctions.OSRRef(G21))</f>
        <v>#NAME?</v>
      </c>
      <c r="H20" s="20" t="e">
        <f t="shared" ca="1" si="0"/>
        <v>#NAME?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6" s="8" customFormat="1" hidden="1" outlineLevel="1">
      <c r="B21" s="9" t="e">
        <f ca="1">_xll.OneStop.ReportPlayer.OSRFunctions.OSRGet("Account","AcNo")&amp;" - "&amp;_xll.OneStop.ReportPlayer.OSRFunctions.OSRGet("Account","Nm")</f>
        <v>#NAME?</v>
      </c>
      <c r="C21" s="23" t="e">
        <f ca="1">_xll.OneStop.ReportPlayer.OSRFunctions.OSRGet("ActualTransaction","AcAm")</f>
        <v>#NAME?</v>
      </c>
      <c r="D21" s="44" t="e">
        <f ca="1">_xll.OneStop.ReportPlayer.OSRFunctions.OSRGet("ActualTransaction","AcAm")</f>
        <v>#NAME?</v>
      </c>
      <c r="E21" s="24"/>
      <c r="F21" s="22" t="e">
        <f ca="1">_xll.OneStop.ReportPlayer.OSRFunctions.OSRGet("ActualTransaction","AcAm")</f>
        <v>#NAME?</v>
      </c>
      <c r="G21" s="21" t="e">
        <f ca="1">_xll.OneStop.ReportPlayer.OSRFunctions.OSRGet("ActualTransaction","AcAm")</f>
        <v>#NAME?</v>
      </c>
      <c r="H21" s="25" t="e">
        <f t="shared" ca="1" si="0"/>
        <v>#NAME?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2:26" s="6" customFormat="1" collapsed="1">
      <c r="B22" s="10" t="s">
        <v>15</v>
      </c>
      <c r="C22" s="18" t="e">
        <f ca="1">SUM(_xll.OneStop.ReportPlayer.OSRFunctions.OSRRef(C23))</f>
        <v>#NAME?</v>
      </c>
      <c r="D22" s="44" t="e">
        <f ca="1">SUM(_xll.OneStop.ReportPlayer.OSRFunctions.OSRRef(D23))</f>
        <v>#NAME?</v>
      </c>
      <c r="E22" s="16"/>
      <c r="F22" s="17" t="e">
        <f ca="1">SUM(_xll.OneStop.ReportPlayer.OSRFunctions.OSRRef(F23))</f>
        <v>#NAME?</v>
      </c>
      <c r="G22" s="19" t="e">
        <f ca="1">SUM(_xll.OneStop.ReportPlayer.OSRFunctions.OSRRef(G23))</f>
        <v>#NAME?</v>
      </c>
      <c r="H22" s="20" t="e">
        <f t="shared" ca="1" si="0"/>
        <v>#NAME?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6" s="8" customFormat="1" hidden="1" outlineLevel="1">
      <c r="B23" s="9" t="e">
        <f ca="1">_xll.OneStop.ReportPlayer.OSRFunctions.OSRGet("Account","AcNo")&amp;" - "&amp;_xll.OneStop.ReportPlayer.OSRFunctions.OSRGet("Account","Nm")</f>
        <v>#NAME?</v>
      </c>
      <c r="C23" s="23" t="e">
        <f ca="1">_xll.OneStop.ReportPlayer.OSRFunctions.OSRGet("ActualTransaction","AcAm")</f>
        <v>#NAME?</v>
      </c>
      <c r="D23" s="44" t="e">
        <f ca="1">_xll.OneStop.ReportPlayer.OSRFunctions.OSRGet("ActualTransaction","AcAm")</f>
        <v>#NAME?</v>
      </c>
      <c r="E23" s="24"/>
      <c r="F23" s="22" t="e">
        <f ca="1">_xll.OneStop.ReportPlayer.OSRFunctions.OSRGet("ActualTransaction","AcAm")</f>
        <v>#NAME?</v>
      </c>
      <c r="G23" s="21" t="e">
        <f ca="1">_xll.OneStop.ReportPlayer.OSRFunctions.OSRGet("ActualTransaction","AcAm")</f>
        <v>#NAME?</v>
      </c>
      <c r="H23" s="25" t="e">
        <f t="shared" ca="1" si="0"/>
        <v>#NAME?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2:26" s="6" customFormat="1" collapsed="1">
      <c r="B24" s="33" t="s">
        <v>16</v>
      </c>
      <c r="C24" s="41" t="e">
        <f t="shared" ref="C24:D24" ca="1" si="3">C16+C18+C20+C22</f>
        <v>#NAME?</v>
      </c>
      <c r="D24" s="42" t="e">
        <f t="shared" ca="1" si="3"/>
        <v>#NAME?</v>
      </c>
      <c r="E24" s="32"/>
      <c r="F24" s="45" t="e">
        <f t="shared" ref="F24:G24" ca="1" si="4">F16+F18+F20+F22</f>
        <v>#NAME?</v>
      </c>
      <c r="G24" s="40" t="e">
        <f t="shared" ca="1" si="4"/>
        <v>#NAME?</v>
      </c>
      <c r="H24" s="55" t="e">
        <f t="shared" ca="1" si="0"/>
        <v>#NAME?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6">
      <c r="B25" s="36"/>
      <c r="C25" s="18"/>
      <c r="D25" s="87"/>
      <c r="E25" s="16"/>
      <c r="F25" s="17"/>
      <c r="G25" s="19"/>
      <c r="H25" s="20">
        <f t="shared" si="0"/>
        <v>0</v>
      </c>
    </row>
    <row r="26" spans="2:26" s="6" customFormat="1" ht="15" thickBot="1">
      <c r="B26" s="48" t="s">
        <v>17</v>
      </c>
      <c r="C26" s="81" t="e">
        <f t="shared" ref="C26:D26" ca="1" si="5">C14-C24</f>
        <v>#NAME?</v>
      </c>
      <c r="D26" s="84" t="e">
        <f t="shared" ca="1" si="5"/>
        <v>#NAME?</v>
      </c>
      <c r="E26" s="32"/>
      <c r="F26" s="65" t="e">
        <f t="shared" ref="F26:G26" ca="1" si="6">F14-F24</f>
        <v>#NAME?</v>
      </c>
      <c r="G26" s="75" t="e">
        <f t="shared" ca="1" si="6"/>
        <v>#NAME?</v>
      </c>
      <c r="H26" s="88" t="e">
        <f t="shared" ca="1" si="0"/>
        <v>#NAME?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6" s="6" customFormat="1" ht="15" thickTop="1">
      <c r="B27" s="10"/>
      <c r="C27" s="18"/>
      <c r="D27" s="44"/>
      <c r="E27" s="16"/>
      <c r="F27" s="17"/>
      <c r="G27" s="19"/>
      <c r="H27" s="20">
        <f t="shared" si="0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6" s="6" customFormat="1">
      <c r="B28" s="10" t="s">
        <v>18</v>
      </c>
      <c r="C28" s="18" t="e">
        <f ca="1">SUM(_xll.OneStop.ReportPlayer.OSRFunctions.OSRRef(C29))</f>
        <v>#NAME?</v>
      </c>
      <c r="D28" s="44" t="e">
        <f ca="1">SUM(_xll.OneStop.ReportPlayer.OSRFunctions.OSRRef(D29))</f>
        <v>#NAME?</v>
      </c>
      <c r="E28" s="16"/>
      <c r="F28" s="17" t="e">
        <f ca="1">SUM(_xll.OneStop.ReportPlayer.OSRFunctions.OSRRef(F29))</f>
        <v>#NAME?</v>
      </c>
      <c r="G28" s="19" t="e">
        <f ca="1">SUM(_xll.OneStop.ReportPlayer.OSRFunctions.OSRRef(G29))</f>
        <v>#NAME?</v>
      </c>
      <c r="H28" s="20" t="e">
        <f t="shared" ca="1" si="0"/>
        <v>#NAME?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6" s="8" customFormat="1" hidden="1" outlineLevel="1">
      <c r="B29" s="9" t="e">
        <f ca="1">_xll.OneStop.ReportPlayer.OSRFunctions.OSRGet("Account","AcNo")&amp;" - "&amp;_xll.OneStop.ReportPlayer.OSRFunctions.OSRGet("Account","Nm")</f>
        <v>#NAME?</v>
      </c>
      <c r="C29" s="23" t="e">
        <f ca="1">_xll.OneStop.ReportPlayer.OSRFunctions.OSRGet("ActualTransaction","AcAm")*-1</f>
        <v>#NAME?</v>
      </c>
      <c r="D29" s="44" t="e">
        <f ca="1">_xll.OneStop.ReportPlayer.OSRFunctions.OSRGet("ActualTransaction","AcAm")*-1</f>
        <v>#NAME?</v>
      </c>
      <c r="E29" s="24"/>
      <c r="F29" s="22" t="e">
        <f ca="1">_xll.OneStop.ReportPlayer.OSRFunctions.OSRGet("ActualTransaction","AcAm")*-1</f>
        <v>#NAME?</v>
      </c>
      <c r="G29" s="21" t="e">
        <f ca="1">_xll.OneStop.ReportPlayer.OSRFunctions.OSRGet("ActualTransaction","AcAm")*-1</f>
        <v>#NAME?</v>
      </c>
      <c r="H29" s="25" t="e">
        <f t="shared" ca="1" si="0"/>
        <v>#NAME?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Z29" s="8" t="s">
        <v>19</v>
      </c>
    </row>
    <row r="30" spans="2:26" s="6" customFormat="1" collapsed="1">
      <c r="B30" s="10" t="s">
        <v>20</v>
      </c>
      <c r="C30" s="18" t="e">
        <f ca="1">SUM(_xll.OneStop.ReportPlayer.OSRFunctions.OSRRef(C31))</f>
        <v>#NAME?</v>
      </c>
      <c r="D30" s="44" t="e">
        <f ca="1">SUM(_xll.OneStop.ReportPlayer.OSRFunctions.OSRRef(D31))</f>
        <v>#NAME?</v>
      </c>
      <c r="E30" s="16"/>
      <c r="F30" s="17" t="e">
        <f ca="1">SUM(_xll.OneStop.ReportPlayer.OSRFunctions.OSRRef(F31))</f>
        <v>#NAME?</v>
      </c>
      <c r="G30" s="19" t="e">
        <f ca="1">SUM(_xll.OneStop.ReportPlayer.OSRFunctions.OSRRef(G31))</f>
        <v>#NAME?</v>
      </c>
      <c r="H30" s="20" t="e">
        <f t="shared" ca="1" si="0"/>
        <v>#NAME?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6" s="8" customFormat="1" hidden="1" outlineLevel="1">
      <c r="B31" s="9" t="e">
        <f ca="1">_xll.OneStop.ReportPlayer.OSRFunctions.OSRGet("Account","AcNo")&amp;" - "&amp;_xll.OneStop.ReportPlayer.OSRFunctions.OSRGet("Account","Nm")</f>
        <v>#NAME?</v>
      </c>
      <c r="C31" s="23" t="e">
        <f ca="1">_xll.OneStop.ReportPlayer.OSRFunctions.OSRGet("ActualTransaction","AcAm")</f>
        <v>#NAME?</v>
      </c>
      <c r="D31" s="44" t="e">
        <f ca="1">_xll.OneStop.ReportPlayer.OSRFunctions.OSRGet("ActualTransaction","AcAm")</f>
        <v>#NAME?</v>
      </c>
      <c r="E31" s="24"/>
      <c r="F31" s="22" t="e">
        <f ca="1">_xll.OneStop.ReportPlayer.OSRFunctions.OSRGet("ActualTransaction","AcAm")</f>
        <v>#NAME?</v>
      </c>
      <c r="G31" s="21" t="e">
        <f ca="1">_xll.OneStop.ReportPlayer.OSRFunctions.OSRGet("ActualTransaction","AcAm")</f>
        <v>#NAME?</v>
      </c>
      <c r="H31" s="20" t="e">
        <f t="shared" ca="1" si="0"/>
        <v>#NAME?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2:26" s="6" customFormat="1" collapsed="1">
      <c r="B32" s="33" t="s">
        <v>21</v>
      </c>
      <c r="C32" s="41" t="e">
        <f t="shared" ref="C32:D32" ca="1" si="7">C26+C28-C30</f>
        <v>#NAME?</v>
      </c>
      <c r="D32" s="42" t="e">
        <f t="shared" ca="1" si="7"/>
        <v>#NAME?</v>
      </c>
      <c r="E32" s="32"/>
      <c r="F32" s="45" t="e">
        <f t="shared" ref="F32:G32" ca="1" si="8">F26+F28-F30</f>
        <v>#NAME?</v>
      </c>
      <c r="G32" s="40" t="e">
        <f t="shared" ca="1" si="8"/>
        <v>#NAME?</v>
      </c>
      <c r="H32" s="67" t="e">
        <f t="shared" ca="1" si="0"/>
        <v>#NAME?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51">
      <c r="B33" s="38"/>
      <c r="E33" s="32"/>
      <c r="H33" s="43"/>
    </row>
    <row r="34" spans="2:51" ht="15.5">
      <c r="B34" s="38"/>
      <c r="C34" s="38"/>
      <c r="D34" s="38"/>
      <c r="E34" s="59"/>
      <c r="F34" s="29"/>
      <c r="H34" s="74" t="s">
        <v>22</v>
      </c>
    </row>
    <row r="35" spans="2:51" ht="15" customHeight="1">
      <c r="B35" s="56" t="s">
        <v>23</v>
      </c>
      <c r="C35" s="117" t="s">
        <v>24</v>
      </c>
      <c r="D35" s="118"/>
      <c r="E35" s="32"/>
      <c r="F35" s="119" t="s">
        <v>25</v>
      </c>
      <c r="G35" s="120"/>
      <c r="H35" s="121"/>
    </row>
    <row r="36" spans="2:51">
      <c r="B36" s="37" t="s">
        <v>26</v>
      </c>
      <c r="C36" s="11" t="str">
        <f t="shared" ref="C36:D36" ca="1" si="9">IF(ISERROR((C6-C16)/C6),"",((C6-C16)/C6))</f>
        <v/>
      </c>
      <c r="D36" s="46" t="str">
        <f t="shared" ca="1" si="9"/>
        <v/>
      </c>
      <c r="E36" s="32"/>
      <c r="F36" s="11" t="str">
        <f t="shared" ref="F36:G36" ca="1" si="10">IF(ISERROR((F6-F16)/F6),"",((F6-F16)/F6))</f>
        <v/>
      </c>
      <c r="G36" s="51" t="str">
        <f t="shared" ca="1" si="10"/>
        <v/>
      </c>
      <c r="H36" s="11"/>
    </row>
    <row r="37" spans="2:51">
      <c r="B37" s="37" t="s">
        <v>27</v>
      </c>
      <c r="C37" s="11" t="str">
        <f t="shared" ref="C37:D37" ca="1" si="11">IF(ISERROR(C18/C6),"",(C18/C6))</f>
        <v/>
      </c>
      <c r="D37" s="46" t="str">
        <f t="shared" ca="1" si="11"/>
        <v/>
      </c>
      <c r="E37" s="32"/>
      <c r="F37" s="11" t="str">
        <f t="shared" ref="F37:G37" ca="1" si="12">IF(ISERROR(F18/F6),"",(F18/F6))</f>
        <v/>
      </c>
      <c r="G37" s="51" t="str">
        <f t="shared" ca="1" si="12"/>
        <v/>
      </c>
      <c r="H37" s="1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51">
      <c r="B38" s="37" t="s">
        <v>28</v>
      </c>
      <c r="C38" s="11" t="str">
        <f t="shared" ref="C38:D38" ca="1" si="13">IF(ISERROR(C24/C6),"",(C24/C6))</f>
        <v/>
      </c>
      <c r="D38" s="46" t="str">
        <f t="shared" ca="1" si="13"/>
        <v/>
      </c>
      <c r="E38" s="32"/>
      <c r="F38" s="11" t="str">
        <f t="shared" ref="F38:G38" ca="1" si="14">IF(ISERROR(F24/F6),"",(F24/F6))</f>
        <v/>
      </c>
      <c r="G38" s="51" t="str">
        <f t="shared" ca="1" si="14"/>
        <v/>
      </c>
      <c r="H38" s="11"/>
    </row>
    <row r="39" spans="2:51">
      <c r="B39" s="39" t="s">
        <v>29</v>
      </c>
      <c r="C39" s="26" t="str">
        <f t="shared" ref="C39:D39" ca="1" si="15">IF(ISERROR(C32/C14),"",(C32/C14))</f>
        <v/>
      </c>
      <c r="D39" s="47" t="str">
        <f t="shared" ca="1" si="15"/>
        <v/>
      </c>
      <c r="E39" s="58"/>
      <c r="F39" s="26" t="str">
        <f t="shared" ref="F39:G39" ca="1" si="16">IF(ISERROR(F32/F14),"",(F32/F14))</f>
        <v/>
      </c>
      <c r="G39" s="54" t="str">
        <f t="shared" ca="1" si="16"/>
        <v/>
      </c>
      <c r="H39" s="26"/>
    </row>
    <row r="40" spans="2:51" hidden="1">
      <c r="B40" s="37" t="s">
        <v>30</v>
      </c>
      <c r="C40" s="89"/>
      <c r="D40" s="46"/>
      <c r="E40" s="32"/>
      <c r="F40" s="11"/>
      <c r="G40" s="51"/>
      <c r="H40" s="68"/>
    </row>
    <row r="41" spans="2:51" hidden="1">
      <c r="B41" s="39" t="s">
        <v>31</v>
      </c>
      <c r="C41" s="78"/>
      <c r="D41" s="47"/>
      <c r="E41" s="32"/>
      <c r="F41" s="31" t="str">
        <f ca="1">IF(ISERROR(F32/(#REF!+#REF!)/2),"",(F32/(#REF!+#REF!)/2))</f>
        <v/>
      </c>
      <c r="G41" s="54"/>
      <c r="H41" s="31"/>
    </row>
    <row r="42" spans="2:51"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</row>
    <row r="43" spans="2:51" ht="15.5">
      <c r="B43" s="69" t="s">
        <v>32</v>
      </c>
      <c r="C43" s="50"/>
      <c r="D43" s="86"/>
      <c r="E43" s="50"/>
      <c r="F43" s="60"/>
      <c r="G43" s="52"/>
      <c r="H43" s="52"/>
      <c r="K43" s="43">
        <v>1</v>
      </c>
      <c r="L43" s="43">
        <v>2</v>
      </c>
      <c r="M43" s="43">
        <v>3</v>
      </c>
      <c r="N43" s="43">
        <v>4</v>
      </c>
      <c r="O43" s="43">
        <v>5</v>
      </c>
      <c r="P43" s="43">
        <v>6</v>
      </c>
      <c r="Q43" s="43">
        <v>7</v>
      </c>
      <c r="R43" s="43">
        <v>8</v>
      </c>
      <c r="S43" s="43">
        <v>9</v>
      </c>
      <c r="T43" s="43">
        <v>10</v>
      </c>
      <c r="U43" s="43">
        <v>11</v>
      </c>
      <c r="V43" s="43">
        <v>12</v>
      </c>
      <c r="X43" s="5"/>
    </row>
    <row r="44" spans="2:51">
      <c r="K44" s="43" t="s">
        <v>33</v>
      </c>
      <c r="L44" s="43" t="s">
        <v>34</v>
      </c>
      <c r="M44" s="43" t="s">
        <v>35</v>
      </c>
      <c r="N44" s="43" t="s">
        <v>36</v>
      </c>
      <c r="O44" s="43" t="s">
        <v>37</v>
      </c>
      <c r="P44" s="43" t="s">
        <v>38</v>
      </c>
      <c r="Q44" s="43" t="s">
        <v>39</v>
      </c>
      <c r="R44" s="43" t="s">
        <v>40</v>
      </c>
      <c r="S44" s="43" t="s">
        <v>41</v>
      </c>
      <c r="T44" s="43" t="s">
        <v>42</v>
      </c>
      <c r="U44" s="43" t="s">
        <v>43</v>
      </c>
      <c r="V44" s="43" t="s">
        <v>44</v>
      </c>
      <c r="X44" s="5"/>
    </row>
    <row r="45" spans="2:51">
      <c r="J45" s="43" t="s">
        <v>45</v>
      </c>
      <c r="K45" s="15" t="e">
        <f ca="1">_xll.OneStop.ReportPlayer.OSRFunctions.OSRGet("ActualTransaction","AcAm")*-1</f>
        <v>#NAME?</v>
      </c>
      <c r="L45" s="15" t="e">
        <f ca="1">_xll.OneStop.ReportPlayer.OSRFunctions.OSRGet("ActualTransaction","AcAm")*-1</f>
        <v>#NAME?</v>
      </c>
      <c r="M45" s="15" t="e">
        <f ca="1">_xll.OneStop.ReportPlayer.OSRFunctions.OSRGet("ActualTransaction","AcAm")*-1</f>
        <v>#NAME?</v>
      </c>
      <c r="N45" s="15" t="e">
        <f ca="1">_xll.OneStop.ReportPlayer.OSRFunctions.OSRGet("ActualTransaction","AcAm")*-1</f>
        <v>#NAME?</v>
      </c>
      <c r="O45" s="15" t="e">
        <f ca="1">_xll.OneStop.ReportPlayer.OSRFunctions.OSRGet("ActualTransaction","AcAm")*-1</f>
        <v>#NAME?</v>
      </c>
      <c r="P45" s="15" t="e">
        <f ca="1">_xll.OneStop.ReportPlayer.OSRFunctions.OSRGet("ActualTransaction","AcAm")*-1</f>
        <v>#NAME?</v>
      </c>
      <c r="Q45" s="15" t="e">
        <f ca="1">_xll.OneStop.ReportPlayer.OSRFunctions.OSRGet("ActualTransaction","AcAm")*-1</f>
        <v>#NAME?</v>
      </c>
      <c r="R45" s="15" t="e">
        <f ca="1">_xll.OneStop.ReportPlayer.OSRFunctions.OSRGet("ActualTransaction","AcAm")*-1</f>
        <v>#NAME?</v>
      </c>
      <c r="S45" s="15" t="e">
        <f ca="1">_xll.OneStop.ReportPlayer.OSRFunctions.OSRGet("ActualTransaction","AcAm")*-1</f>
        <v>#NAME?</v>
      </c>
      <c r="T45" s="15" t="e">
        <f ca="1">_xll.OneStop.ReportPlayer.OSRFunctions.OSRGet("ActualTransaction","AcAm")*-1</f>
        <v>#NAME?</v>
      </c>
      <c r="U45" s="15" t="e">
        <f ca="1">_xll.OneStop.ReportPlayer.OSRFunctions.OSRGet("ActualTransaction","AcAm")*-1</f>
        <v>#NAME?</v>
      </c>
      <c r="V45" s="15" t="e">
        <f ca="1">_xll.OneStop.ReportPlayer.OSRFunctions.OSRGet("ActualTransaction","AcAm")*-1</f>
        <v>#NAME?</v>
      </c>
      <c r="X45" s="5"/>
    </row>
    <row r="46" spans="2:51">
      <c r="J46" s="43" t="s">
        <v>46</v>
      </c>
      <c r="K46" s="15" t="e">
        <f ca="1">_xll.OneStop.ReportPlayer.OSRFunctions.OSRGet("ActualTransaction","AcAm")*-1</f>
        <v>#NAME?</v>
      </c>
      <c r="L46" s="15" t="e">
        <f ca="1">_xll.OneStop.ReportPlayer.OSRFunctions.OSRGet("ActualTransaction","AcAm")*-1</f>
        <v>#NAME?</v>
      </c>
      <c r="M46" s="15" t="e">
        <f ca="1">_xll.OneStop.ReportPlayer.OSRFunctions.OSRGet("ActualTransaction","AcAm")*-1</f>
        <v>#NAME?</v>
      </c>
      <c r="N46" s="15" t="e">
        <f ca="1">_xll.OneStop.ReportPlayer.OSRFunctions.OSRGet("ActualTransaction","AcAm")*-1</f>
        <v>#NAME?</v>
      </c>
      <c r="O46" s="15" t="e">
        <f ca="1">_xll.OneStop.ReportPlayer.OSRFunctions.OSRGet("ActualTransaction","AcAm")*-1</f>
        <v>#NAME?</v>
      </c>
      <c r="P46" s="15" t="e">
        <f ca="1">_xll.OneStop.ReportPlayer.OSRFunctions.OSRGet("ActualTransaction","AcAm")*-1</f>
        <v>#NAME?</v>
      </c>
      <c r="Q46" s="15" t="e">
        <f ca="1">_xll.OneStop.ReportPlayer.OSRFunctions.OSRGet("ActualTransaction","AcAm")*-1</f>
        <v>#NAME?</v>
      </c>
      <c r="R46" s="15" t="e">
        <f ca="1">_xll.OneStop.ReportPlayer.OSRFunctions.OSRGet("ActualTransaction","AcAm")*-1</f>
        <v>#NAME?</v>
      </c>
      <c r="S46" s="15" t="e">
        <f ca="1">_xll.OneStop.ReportPlayer.OSRFunctions.OSRGet("ActualTransaction","AcAm")*-1</f>
        <v>#NAME?</v>
      </c>
      <c r="T46" s="15" t="e">
        <f ca="1">_xll.OneStop.ReportPlayer.OSRFunctions.OSRGet("ActualTransaction","AcAm")*-1</f>
        <v>#NAME?</v>
      </c>
      <c r="U46" s="15" t="e">
        <f ca="1">_xll.OneStop.ReportPlayer.OSRFunctions.OSRGet("ActualTransaction","AcAm")*-1</f>
        <v>#NAME?</v>
      </c>
      <c r="V46" s="15" t="e">
        <f ca="1">_xll.OneStop.ReportPlayer.OSRFunctions.OSRGet("ActualTransaction","AcAm")*-1</f>
        <v>#NAME?</v>
      </c>
      <c r="X46" s="5"/>
    </row>
    <row r="47" spans="2:51">
      <c r="J47" s="43" t="s">
        <v>47</v>
      </c>
      <c r="K47" s="43" t="e">
        <f ca="1">K45-K46</f>
        <v>#NAME?</v>
      </c>
      <c r="L47" s="43" t="e">
        <f t="shared" ref="L47:V47" ca="1" si="17">(L45-L46)+K47</f>
        <v>#NAME?</v>
      </c>
      <c r="M47" s="43" t="e">
        <f t="shared" ca="1" si="17"/>
        <v>#NAME?</v>
      </c>
      <c r="N47" s="43" t="e">
        <f t="shared" ca="1" si="17"/>
        <v>#NAME?</v>
      </c>
      <c r="O47" s="43" t="e">
        <f t="shared" ca="1" si="17"/>
        <v>#NAME?</v>
      </c>
      <c r="P47" s="43" t="e">
        <f t="shared" ca="1" si="17"/>
        <v>#NAME?</v>
      </c>
      <c r="Q47" s="43" t="e">
        <f t="shared" ca="1" si="17"/>
        <v>#NAME?</v>
      </c>
      <c r="R47" s="43" t="e">
        <f t="shared" ca="1" si="17"/>
        <v>#NAME?</v>
      </c>
      <c r="S47" s="43" t="e">
        <f t="shared" ca="1" si="17"/>
        <v>#NAME?</v>
      </c>
      <c r="T47" s="43" t="e">
        <f t="shared" ca="1" si="17"/>
        <v>#NAME?</v>
      </c>
      <c r="U47" s="43" t="e">
        <f t="shared" ca="1" si="17"/>
        <v>#NAME?</v>
      </c>
      <c r="V47" s="43" t="e">
        <f t="shared" ca="1" si="17"/>
        <v>#NAME?</v>
      </c>
      <c r="X47" s="5"/>
    </row>
    <row r="48" spans="2:51">
      <c r="X48" s="5"/>
    </row>
    <row r="49" spans="2:24">
      <c r="X49" s="5"/>
    </row>
    <row r="50" spans="2:24">
      <c r="X50" s="5"/>
    </row>
    <row r="51" spans="2:24">
      <c r="K51" s="43" t="s">
        <v>33</v>
      </c>
      <c r="L51" s="43" t="s">
        <v>34</v>
      </c>
      <c r="M51" s="43" t="s">
        <v>35</v>
      </c>
      <c r="N51" s="43" t="s">
        <v>36</v>
      </c>
      <c r="O51" s="43" t="s">
        <v>37</v>
      </c>
      <c r="P51" s="43" t="s">
        <v>38</v>
      </c>
      <c r="Q51" s="43" t="s">
        <v>39</v>
      </c>
      <c r="R51" s="43" t="s">
        <v>40</v>
      </c>
      <c r="S51" s="43" t="s">
        <v>41</v>
      </c>
      <c r="T51" s="43" t="s">
        <v>42</v>
      </c>
      <c r="U51" s="43" t="s">
        <v>43</v>
      </c>
      <c r="V51" s="43" t="s">
        <v>44</v>
      </c>
      <c r="X51" s="5"/>
    </row>
    <row r="52" spans="2:24">
      <c r="J52" s="43" t="s">
        <v>48</v>
      </c>
      <c r="K52" s="14" t="e">
        <f t="shared" ref="K52:V52" ca="1" si="18">IF(K43&lt;($C$2+1),K45,0)</f>
        <v>#NAME?</v>
      </c>
      <c r="L52" s="14" t="e">
        <f t="shared" ca="1" si="18"/>
        <v>#NAME?</v>
      </c>
      <c r="M52" s="14" t="e">
        <f t="shared" ca="1" si="18"/>
        <v>#NAME?</v>
      </c>
      <c r="N52" s="14" t="e">
        <f t="shared" ca="1" si="18"/>
        <v>#NAME?</v>
      </c>
      <c r="O52" s="14" t="e">
        <f t="shared" ca="1" si="18"/>
        <v>#NAME?</v>
      </c>
      <c r="P52" s="14" t="e">
        <f t="shared" ca="1" si="18"/>
        <v>#NAME?</v>
      </c>
      <c r="Q52" s="14" t="e">
        <f t="shared" ca="1" si="18"/>
        <v>#NAME?</v>
      </c>
      <c r="R52" s="14" t="e">
        <f t="shared" ca="1" si="18"/>
        <v>#NAME?</v>
      </c>
      <c r="S52" s="14" t="e">
        <f t="shared" ca="1" si="18"/>
        <v>#NAME?</v>
      </c>
      <c r="T52" s="14" t="e">
        <f t="shared" ca="1" si="18"/>
        <v>#NAME?</v>
      </c>
      <c r="U52" s="14" t="e">
        <f t="shared" ca="1" si="18"/>
        <v>#NAME?</v>
      </c>
      <c r="V52" s="14" t="e">
        <f t="shared" ca="1" si="18"/>
        <v>#NAME?</v>
      </c>
      <c r="X52" s="5"/>
    </row>
    <row r="53" spans="2:24">
      <c r="J53" s="43" t="s">
        <v>49</v>
      </c>
      <c r="K53" s="14" t="e">
        <f t="shared" ref="K53:V53" ca="1" si="19">IF(K43&lt;($C$2+1),K46,0)</f>
        <v>#NAME?</v>
      </c>
      <c r="L53" s="14" t="e">
        <f t="shared" ca="1" si="19"/>
        <v>#NAME?</v>
      </c>
      <c r="M53" s="14" t="e">
        <f t="shared" ca="1" si="19"/>
        <v>#NAME?</v>
      </c>
      <c r="N53" s="14" t="e">
        <f t="shared" ca="1" si="19"/>
        <v>#NAME?</v>
      </c>
      <c r="O53" s="14" t="e">
        <f t="shared" ca="1" si="19"/>
        <v>#NAME?</v>
      </c>
      <c r="P53" s="14" t="e">
        <f t="shared" ca="1" si="19"/>
        <v>#NAME?</v>
      </c>
      <c r="Q53" s="14" t="e">
        <f t="shared" ca="1" si="19"/>
        <v>#NAME?</v>
      </c>
      <c r="R53" s="14" t="e">
        <f t="shared" ca="1" si="19"/>
        <v>#NAME?</v>
      </c>
      <c r="S53" s="14" t="e">
        <f t="shared" ca="1" si="19"/>
        <v>#NAME?</v>
      </c>
      <c r="T53" s="14" t="e">
        <f t="shared" ca="1" si="19"/>
        <v>#NAME?</v>
      </c>
      <c r="U53" s="14" t="e">
        <f t="shared" ca="1" si="19"/>
        <v>#NAME?</v>
      </c>
      <c r="V53" s="14" t="e">
        <f t="shared" ca="1" si="19"/>
        <v>#NAME?</v>
      </c>
    </row>
    <row r="54" spans="2:24" ht="15.5">
      <c r="B54" s="34"/>
      <c r="C54" s="34"/>
      <c r="D54" s="34"/>
      <c r="E54" s="34"/>
      <c r="F54" s="34"/>
      <c r="J54" s="43" t="s">
        <v>50</v>
      </c>
      <c r="K54" s="14" t="e">
        <f t="shared" ref="K54:V54" ca="1" si="20">IF(K43&lt;($C$2+1),K47,NA())</f>
        <v>#NAME?</v>
      </c>
      <c r="L54" s="14" t="e">
        <f t="shared" ca="1" si="20"/>
        <v>#NAME?</v>
      </c>
      <c r="M54" s="14" t="e">
        <f t="shared" ca="1" si="20"/>
        <v>#NAME?</v>
      </c>
      <c r="N54" s="14" t="e">
        <f t="shared" ca="1" si="20"/>
        <v>#NAME?</v>
      </c>
      <c r="O54" s="14" t="e">
        <f t="shared" ca="1" si="20"/>
        <v>#NAME?</v>
      </c>
      <c r="P54" s="14" t="e">
        <f t="shared" ca="1" si="20"/>
        <v>#NAME?</v>
      </c>
      <c r="Q54" s="14" t="e">
        <f t="shared" ca="1" si="20"/>
        <v>#NAME?</v>
      </c>
      <c r="R54" s="14" t="e">
        <f t="shared" ca="1" si="20"/>
        <v>#NAME?</v>
      </c>
      <c r="S54" s="14" t="e">
        <f t="shared" ca="1" si="20"/>
        <v>#NAME?</v>
      </c>
      <c r="T54" s="14" t="e">
        <f t="shared" ca="1" si="20"/>
        <v>#NAME?</v>
      </c>
      <c r="U54" s="14" t="e">
        <f t="shared" ca="1" si="20"/>
        <v>#NAME?</v>
      </c>
      <c r="V54" s="14" t="e">
        <f t="shared" ca="1" si="20"/>
        <v>#NAME?</v>
      </c>
    </row>
    <row r="55" spans="2:24" ht="15.5">
      <c r="B55" s="34"/>
      <c r="C55" s="34"/>
      <c r="D55" s="34"/>
      <c r="E55" s="34"/>
      <c r="F55" s="34"/>
    </row>
    <row r="60" spans="2:24"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</sheetData>
  <mergeCells count="8">
    <mergeCell ref="Z42:AL42"/>
    <mergeCell ref="AN42:AY42"/>
    <mergeCell ref="G2:H2"/>
    <mergeCell ref="B4:B5"/>
    <mergeCell ref="C4:D4"/>
    <mergeCell ref="F4:G4"/>
    <mergeCell ref="C35:D35"/>
    <mergeCell ref="F35:H35"/>
  </mergeCells>
  <pageMargins left="0.25" right="0.25" top="0.75" bottom="0.75" header="0.3" footer="0.3"/>
  <pageSetup paperSize="9" scale="96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Y60"/>
  <sheetViews>
    <sheetView showGridLines="0" topLeftCell="B1" workbookViewId="0"/>
  </sheetViews>
  <sheetFormatPr baseColWidth="10" defaultColWidth="11.453125" defaultRowHeight="14.5" outlineLevelRow="1"/>
  <cols>
    <col min="1" max="1" width="1.54296875" hidden="1" customWidth="1"/>
    <col min="2" max="2" width="38.36328125" customWidth="1"/>
    <col min="3" max="4" width="13.08984375" customWidth="1"/>
    <col min="5" max="5" width="2.6328125" customWidth="1"/>
    <col min="6" max="6" width="12.36328125" customWidth="1"/>
    <col min="7" max="7" width="11.453125" customWidth="1"/>
    <col min="8" max="8" width="14.36328125" customWidth="1"/>
    <col min="9" max="9" width="11.453125" style="43"/>
    <col min="10" max="10" width="27" style="43" customWidth="1"/>
    <col min="11" max="22" width="11.453125" style="43" customWidth="1"/>
    <col min="23" max="23" width="11.453125" style="43"/>
  </cols>
  <sheetData>
    <row r="1" spans="2:23" ht="21">
      <c r="B1" s="57" t="e">
        <f ca="1">_xll.OneStop.ReportPlayer.OSRFunctions.OSRGet("ThisCompany","Nm")</f>
        <v>#NAME?</v>
      </c>
      <c r="C1" s="79"/>
      <c r="D1" s="35"/>
      <c r="E1" s="35"/>
      <c r="F1" s="35"/>
      <c r="G1" s="35"/>
      <c r="H1" s="35"/>
    </row>
    <row r="2" spans="2:23" ht="21">
      <c r="B2" s="49" t="s">
        <v>53</v>
      </c>
      <c r="C2" s="63" t="e">
        <f ca="1">_xll.OneStop.ReportPlayer.OSRFunctions.OSRGet("Period","FiscPer")</f>
        <v>#NAME?</v>
      </c>
      <c r="D2" s="35"/>
      <c r="E2" s="35"/>
      <c r="F2" s="35"/>
      <c r="G2" s="111" t="e">
        <f ca="1">_xll.OneStop.ReportPlayer.OSRFunctions.OSRGet("Period","EndDate")</f>
        <v>#NAME?</v>
      </c>
      <c r="H2" s="111"/>
    </row>
    <row r="3" spans="2:23">
      <c r="B3" s="53"/>
      <c r="C3" s="62"/>
    </row>
    <row r="4" spans="2:23" ht="15.5">
      <c r="B4" s="112" t="s">
        <v>0</v>
      </c>
      <c r="C4" s="114" t="s">
        <v>1</v>
      </c>
      <c r="D4" s="115"/>
      <c r="E4" s="66"/>
      <c r="F4" s="116" t="s">
        <v>2</v>
      </c>
      <c r="G4" s="114"/>
      <c r="H4" s="83" t="s">
        <v>3</v>
      </c>
    </row>
    <row r="5" spans="2:23" ht="15.5">
      <c r="B5" s="113" t="s">
        <v>0</v>
      </c>
      <c r="C5" s="70" t="s">
        <v>51</v>
      </c>
      <c r="D5" s="71" t="s">
        <v>52</v>
      </c>
      <c r="E5" s="82"/>
      <c r="F5" s="77" t="s">
        <v>4</v>
      </c>
      <c r="G5" s="61" t="s">
        <v>5</v>
      </c>
      <c r="H5" s="76" t="s">
        <v>6</v>
      </c>
    </row>
    <row r="6" spans="2:23" s="6" customFormat="1">
      <c r="B6" s="10" t="s">
        <v>7</v>
      </c>
      <c r="C6" s="18" t="e">
        <f ca="1">SUM(_xll.OneStop.ReportPlayer.OSRFunctions.OSRRef(C7))</f>
        <v>#NAME?</v>
      </c>
      <c r="D6" s="44" t="e">
        <f ca="1">SUM(_xll.OneStop.ReportPlayer.OSRFunctions.OSRRef(D7))</f>
        <v>#NAME?</v>
      </c>
      <c r="E6" s="16"/>
      <c r="F6" s="17" t="e">
        <f ca="1">SUM(_xll.OneStop.ReportPlayer.OSRFunctions.OSRRef(F7))</f>
        <v>#NAME?</v>
      </c>
      <c r="G6" s="19" t="e">
        <f ca="1">SUM(_xll.OneStop.ReportPlayer.OSRFunctions.OSRRef(G7))</f>
        <v>#NAME?</v>
      </c>
      <c r="H6" s="20" t="e">
        <f t="shared" ref="H6:H32" ca="1" si="0">F6-G6</f>
        <v>#NAME?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2:23" s="8" customFormat="1" hidden="1" outlineLevel="1">
      <c r="B7" s="9" t="e">
        <f ca="1">_xll.OneStop.ReportPlayer.OSRFunctions.OSRGet("Account","AcNo")&amp;" - "&amp;_xll.OneStop.ReportPlayer.OSRFunctions.OSRGet("Account","Nm")</f>
        <v>#NAME?</v>
      </c>
      <c r="C7" s="23" t="e">
        <f ca="1">_xll.OneStop.ReportPlayer.OSRFunctions.OSRGet("ActualTransaction","AcAm")*-1</f>
        <v>#NAME?</v>
      </c>
      <c r="D7" s="44" t="e">
        <f ca="1">_xll.OneStop.ReportPlayer.OSRFunctions.OSRGet("ActualTransaction","AcAm")*-1</f>
        <v>#NAME?</v>
      </c>
      <c r="E7" s="24"/>
      <c r="F7" s="22" t="e">
        <f ca="1">_xll.OneStop.ReportPlayer.OSRFunctions.OSRGet("ActualTransaction","AcAm")*-1</f>
        <v>#NAME?</v>
      </c>
      <c r="G7" s="21" t="e">
        <f ca="1">_xll.OneStop.ReportPlayer.OSRFunctions.OSRGet("ActualTransaction","AcAm")*-1</f>
        <v>#NAME?</v>
      </c>
      <c r="H7" s="25" t="e">
        <f t="shared" ca="1" si="0"/>
        <v>#NAME?</v>
      </c>
      <c r="I7" s="2"/>
      <c r="J7" s="2"/>
      <c r="K7" s="2" t="e">
        <f ca="1">_xll.OneStop.ReportPlayer.OSRFunctions.OSRGet("ActualTransaction","AcAm")*-1</f>
        <v>#NAME?</v>
      </c>
      <c r="L7" s="2" t="e">
        <f ca="1">_xll.OneStop.ReportPlayer.OSRFunctions.OSRGet("ActualTransaction","AcAm")*-1</f>
        <v>#NAME?</v>
      </c>
      <c r="M7" s="2" t="e">
        <f ca="1">_xll.OneStop.ReportPlayer.OSRFunctions.OSRGet("ActualTransaction","AcAm")*-1</f>
        <v>#NAME?</v>
      </c>
      <c r="N7" s="2" t="e">
        <f ca="1">_xll.OneStop.ReportPlayer.OSRFunctions.OSRGet("ActualTransaction","AcAm")*-1</f>
        <v>#NAME?</v>
      </c>
      <c r="O7" s="2" t="e">
        <f ca="1">_xll.OneStop.ReportPlayer.OSRFunctions.OSRGet("ActualTransaction","AcAm")*-1</f>
        <v>#NAME?</v>
      </c>
      <c r="P7" s="2" t="e">
        <f ca="1">_xll.OneStop.ReportPlayer.OSRFunctions.OSRGet("ActualTransaction","AcAm")*-1</f>
        <v>#NAME?</v>
      </c>
      <c r="Q7" s="2" t="e">
        <f ca="1">_xll.OneStop.ReportPlayer.OSRFunctions.OSRGet("ActualTransaction","AcAm")*-1</f>
        <v>#NAME?</v>
      </c>
      <c r="R7" s="2" t="e">
        <f ca="1">_xll.OneStop.ReportPlayer.OSRFunctions.OSRGet("ActualTransaction","AcAm")*-1</f>
        <v>#NAME?</v>
      </c>
      <c r="S7" s="2" t="e">
        <f ca="1">_xll.OneStop.ReportPlayer.OSRFunctions.OSRGet("ActualTransaction","AcAm")*-1</f>
        <v>#NAME?</v>
      </c>
      <c r="T7" s="2" t="e">
        <f ca="1">_xll.OneStop.ReportPlayer.OSRFunctions.OSRGet("ActualTransaction","AcAm")*-1</f>
        <v>#NAME?</v>
      </c>
      <c r="U7" s="2" t="e">
        <f ca="1">_xll.OneStop.ReportPlayer.OSRFunctions.OSRGet("ActualTransaction","AcAm")*-1</f>
        <v>#NAME?</v>
      </c>
      <c r="V7" s="2" t="e">
        <f ca="1">_xll.OneStop.ReportPlayer.OSRFunctions.OSRGet("ActualTransaction","AcAm")*-1</f>
        <v>#NAME?</v>
      </c>
      <c r="W7" s="2"/>
    </row>
    <row r="8" spans="2:23" s="6" customFormat="1" collapsed="1">
      <c r="B8" s="10" t="s">
        <v>8</v>
      </c>
      <c r="C8" s="18" t="e">
        <f ca="1">SUM(_xll.OneStop.ReportPlayer.OSRFunctions.OSRRef(C9))</f>
        <v>#NAME?</v>
      </c>
      <c r="D8" s="44" t="e">
        <f ca="1">SUM(_xll.OneStop.ReportPlayer.OSRFunctions.OSRRef(D9))</f>
        <v>#NAME?</v>
      </c>
      <c r="E8" s="16"/>
      <c r="F8" s="17" t="e">
        <f ca="1">SUM(_xll.OneStop.ReportPlayer.OSRFunctions.OSRRef(F9))</f>
        <v>#NAME?</v>
      </c>
      <c r="G8" s="19" t="e">
        <f ca="1">SUM(_xll.OneStop.ReportPlayer.OSRFunctions.OSRRef(G9))</f>
        <v>#NAME?</v>
      </c>
      <c r="H8" s="20" t="e">
        <f t="shared" ca="1" si="0"/>
        <v>#NAME?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2:23" s="8" customFormat="1" hidden="1" outlineLevel="1">
      <c r="B9" s="9" t="e">
        <f ca="1">_xll.OneStop.ReportPlayer.OSRFunctions.OSRGet("Account","AcNo")&amp;" - "&amp;_xll.OneStop.ReportPlayer.OSRFunctions.OSRGet("Account","Nm")</f>
        <v>#NAME?</v>
      </c>
      <c r="C9" s="23" t="e">
        <f ca="1">_xll.OneStop.ReportPlayer.OSRFunctions.OSRGet("ActualTransaction","AcAm")*-1</f>
        <v>#NAME?</v>
      </c>
      <c r="D9" s="44" t="e">
        <f ca="1">_xll.OneStop.ReportPlayer.OSRFunctions.OSRGet("ActualTransaction","AcAm")*-1</f>
        <v>#NAME?</v>
      </c>
      <c r="E9" s="24"/>
      <c r="F9" s="22" t="e">
        <f ca="1">_xll.OneStop.ReportPlayer.OSRFunctions.OSRGet("ActualTransaction","AcAm")*-1</f>
        <v>#NAME?</v>
      </c>
      <c r="G9" s="21" t="e">
        <f ca="1">_xll.OneStop.ReportPlayer.OSRFunctions.OSRGet("ActualTransaction","AcAm")*-1</f>
        <v>#NAME?</v>
      </c>
      <c r="H9" s="25" t="e">
        <f t="shared" ca="1" si="0"/>
        <v>#NAME?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2:23" s="6" customFormat="1" collapsed="1">
      <c r="B10" s="10" t="s">
        <v>9</v>
      </c>
      <c r="C10" s="18" t="e">
        <f ca="1">SUM(_xll.OneStop.ReportPlayer.OSRFunctions.OSRRef(C11))</f>
        <v>#NAME?</v>
      </c>
      <c r="D10" s="44" t="e">
        <f ca="1">SUM(_xll.OneStop.ReportPlayer.OSRFunctions.OSRRef(D11))</f>
        <v>#NAME?</v>
      </c>
      <c r="E10" s="16"/>
      <c r="F10" s="17" t="e">
        <f ca="1">SUM(_xll.OneStop.ReportPlayer.OSRFunctions.OSRRef(F11))</f>
        <v>#NAME?</v>
      </c>
      <c r="G10" s="19" t="e">
        <f ca="1">SUM(_xll.OneStop.ReportPlayer.OSRFunctions.OSRRef(G11))</f>
        <v>#NAME?</v>
      </c>
      <c r="H10" s="20" t="e">
        <f t="shared" ca="1" si="0"/>
        <v>#NAME?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2:23" s="8" customFormat="1" hidden="1" outlineLevel="1">
      <c r="B11" s="9" t="e">
        <f ca="1">_xll.OneStop.ReportPlayer.OSRFunctions.OSRGet("Account","AcNo")&amp;" - "&amp;_xll.OneStop.ReportPlayer.OSRFunctions.OSRGet("Account","Nm")</f>
        <v>#NAME?</v>
      </c>
      <c r="C11" s="23" t="e">
        <f ca="1">_xll.OneStop.ReportPlayer.OSRFunctions.OSRGet("ActualTransaction","AcAm")*-1</f>
        <v>#NAME?</v>
      </c>
      <c r="D11" s="44" t="e">
        <f ca="1">_xll.OneStop.ReportPlayer.OSRFunctions.OSRGet("ActualTransaction","AcAm")*-1</f>
        <v>#NAME?</v>
      </c>
      <c r="E11" s="24"/>
      <c r="F11" s="22" t="e">
        <f ca="1">_xll.OneStop.ReportPlayer.OSRFunctions.OSRGet("ActualTransaction","AcAm")*-1</f>
        <v>#NAME?</v>
      </c>
      <c r="G11" s="21" t="e">
        <f ca="1">_xll.OneStop.ReportPlayer.OSRFunctions.OSRGet("ActualTransaction","AcAm")*-1</f>
        <v>#NAME?</v>
      </c>
      <c r="H11" s="25" t="e">
        <f t="shared" ca="1" si="0"/>
        <v>#NAME?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2:23" s="6" customFormat="1" collapsed="1">
      <c r="B12" s="10" t="s">
        <v>10</v>
      </c>
      <c r="C12" s="18" t="e">
        <f ca="1">SUM(_xll.OneStop.ReportPlayer.OSRFunctions.OSRRef(C13))</f>
        <v>#NAME?</v>
      </c>
      <c r="D12" s="44" t="e">
        <f ca="1">SUM(_xll.OneStop.ReportPlayer.OSRFunctions.OSRRef(D13))</f>
        <v>#NAME?</v>
      </c>
      <c r="E12" s="16"/>
      <c r="F12" s="17" t="e">
        <f ca="1">SUM(_xll.OneStop.ReportPlayer.OSRFunctions.OSRRef(F13))</f>
        <v>#NAME?</v>
      </c>
      <c r="G12" s="19" t="e">
        <f ca="1">SUM(_xll.OneStop.ReportPlayer.OSRFunctions.OSRRef(G13))</f>
        <v>#NAME?</v>
      </c>
      <c r="H12" s="20" t="e">
        <f t="shared" ca="1" si="0"/>
        <v>#NAME?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2:23" s="8" customFormat="1" hidden="1" outlineLevel="1">
      <c r="B13" s="9" t="e">
        <f ca="1">_xll.OneStop.ReportPlayer.OSRFunctions.OSRGet("Account","AcNo")&amp;" - "&amp;_xll.OneStop.ReportPlayer.OSRFunctions.OSRGet("Account","Nm")</f>
        <v>#NAME?</v>
      </c>
      <c r="C13" s="23" t="e">
        <f ca="1">_xll.OneStop.ReportPlayer.OSRFunctions.OSRGet("ActualTransaction","AcAm")*-1</f>
        <v>#NAME?</v>
      </c>
      <c r="D13" s="44" t="e">
        <f ca="1">_xll.OneStop.ReportPlayer.OSRFunctions.OSRGet("ActualTransaction","AcAm")*-1</f>
        <v>#NAME?</v>
      </c>
      <c r="E13" s="24"/>
      <c r="F13" s="22" t="e">
        <f ca="1">_xll.OneStop.ReportPlayer.OSRFunctions.OSRGet("ActualTransaction","AcAm")*-1</f>
        <v>#NAME?</v>
      </c>
      <c r="G13" s="21" t="e">
        <f ca="1">_xll.OneStop.ReportPlayer.OSRFunctions.OSRGet("ActualTransaction","AcAm")*-1</f>
        <v>#NAME?</v>
      </c>
      <c r="H13" s="25" t="e">
        <f t="shared" ca="1" si="0"/>
        <v>#NAME?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2:23" s="6" customFormat="1" collapsed="1">
      <c r="B14" s="33" t="s">
        <v>11</v>
      </c>
      <c r="C14" s="41" t="e">
        <f t="shared" ref="C14:D14" ca="1" si="1">C6+C8+C10+C12</f>
        <v>#NAME?</v>
      </c>
      <c r="D14" s="42" t="e">
        <f t="shared" ca="1" si="1"/>
        <v>#NAME?</v>
      </c>
      <c r="E14" s="32"/>
      <c r="F14" s="45" t="e">
        <f t="shared" ref="F14:G14" ca="1" si="2">F6+F8+F10+F12</f>
        <v>#NAME?</v>
      </c>
      <c r="G14" s="40" t="e">
        <f t="shared" ca="1" si="2"/>
        <v>#NAME?</v>
      </c>
      <c r="H14" s="55" t="e">
        <f t="shared" ca="1" si="0"/>
        <v>#NAME?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2:23">
      <c r="B15" s="36"/>
      <c r="C15" s="18"/>
      <c r="D15" s="44"/>
      <c r="E15" s="16"/>
      <c r="F15" s="17"/>
      <c r="G15" s="19"/>
      <c r="H15" s="20">
        <f t="shared" si="0"/>
        <v>0</v>
      </c>
    </row>
    <row r="16" spans="2:23" s="6" customFormat="1">
      <c r="B16" s="10" t="s">
        <v>12</v>
      </c>
      <c r="C16" s="18" t="e">
        <f ca="1">SUM(_xll.OneStop.ReportPlayer.OSRFunctions.OSRRef(C17))</f>
        <v>#NAME?</v>
      </c>
      <c r="D16" s="44" t="e">
        <f ca="1">SUM(_xll.OneStop.ReportPlayer.OSRFunctions.OSRRef(D17))</f>
        <v>#NAME?</v>
      </c>
      <c r="E16" s="16"/>
      <c r="F16" s="17" t="e">
        <f ca="1">SUM(_xll.OneStop.ReportPlayer.OSRFunctions.OSRRef(F17))</f>
        <v>#NAME?</v>
      </c>
      <c r="G16" s="19" t="e">
        <f ca="1">SUM(_xll.OneStop.ReportPlayer.OSRFunctions.OSRRef(G17))</f>
        <v>#NAME?</v>
      </c>
      <c r="H16" s="20" t="e">
        <f t="shared" ca="1" si="0"/>
        <v>#NAME?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6" s="8" customFormat="1" hidden="1" outlineLevel="1">
      <c r="B17" s="9" t="e">
        <f ca="1">_xll.OneStop.ReportPlayer.OSRFunctions.OSRGet("Account","AcNo")&amp;" - "&amp;_xll.OneStop.ReportPlayer.OSRFunctions.OSRGet("Account","Nm")</f>
        <v>#NAME?</v>
      </c>
      <c r="C17" s="23" t="e">
        <f ca="1">_xll.OneStop.ReportPlayer.OSRFunctions.OSRGet("ActualTransaction","AcAm")</f>
        <v>#NAME?</v>
      </c>
      <c r="D17" s="44" t="e">
        <f ca="1">_xll.OneStop.ReportPlayer.OSRFunctions.OSRGet("ActualTransaction","AcAm")</f>
        <v>#NAME?</v>
      </c>
      <c r="E17" s="24"/>
      <c r="F17" s="22" t="e">
        <f ca="1">_xll.OneStop.ReportPlayer.OSRFunctions.OSRGet("ActualTransaction","AcAm")</f>
        <v>#NAME?</v>
      </c>
      <c r="G17" s="21" t="e">
        <f ca="1">_xll.OneStop.ReportPlayer.OSRFunctions.OSRGet("ActualTransaction","AcAm")</f>
        <v>#NAME?</v>
      </c>
      <c r="H17" s="25" t="e">
        <f t="shared" ca="1" si="0"/>
        <v>#NAME?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2:26" s="6" customFormat="1" collapsed="1">
      <c r="B18" s="10" t="s">
        <v>13</v>
      </c>
      <c r="C18" s="18" t="e">
        <f ca="1">SUM(_xll.OneStop.ReportPlayer.OSRFunctions.OSRRef(C19))</f>
        <v>#NAME?</v>
      </c>
      <c r="D18" s="44" t="e">
        <f ca="1">SUM(_xll.OneStop.ReportPlayer.OSRFunctions.OSRRef(D19))</f>
        <v>#NAME?</v>
      </c>
      <c r="E18" s="16"/>
      <c r="F18" s="17" t="e">
        <f ca="1">SUM(_xll.OneStop.ReportPlayer.OSRFunctions.OSRRef(F19))</f>
        <v>#NAME?</v>
      </c>
      <c r="G18" s="19" t="e">
        <f ca="1">SUM(_xll.OneStop.ReportPlayer.OSRFunctions.OSRRef(G19))</f>
        <v>#NAME?</v>
      </c>
      <c r="H18" s="20" t="e">
        <f t="shared" ca="1" si="0"/>
        <v>#NAME?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6" s="8" customFormat="1" hidden="1" outlineLevel="1">
      <c r="B19" s="9" t="e">
        <f ca="1">_xll.OneStop.ReportPlayer.OSRFunctions.OSRGet("Account","AcNo")&amp;" - "&amp;_xll.OneStop.ReportPlayer.OSRFunctions.OSRGet("Account","Nm")</f>
        <v>#NAME?</v>
      </c>
      <c r="C19" s="23" t="e">
        <f ca="1">_xll.OneStop.ReportPlayer.OSRFunctions.OSRGet("ActualTransaction","AcAm")</f>
        <v>#NAME?</v>
      </c>
      <c r="D19" s="44" t="e">
        <f ca="1">_xll.OneStop.ReportPlayer.OSRFunctions.OSRGet("ActualTransaction","AcAm")</f>
        <v>#NAME?</v>
      </c>
      <c r="E19" s="24"/>
      <c r="F19" s="22" t="e">
        <f ca="1">_xll.OneStop.ReportPlayer.OSRFunctions.OSRGet("ActualTransaction","AcAm")</f>
        <v>#NAME?</v>
      </c>
      <c r="G19" s="21" t="e">
        <f ca="1">_xll.OneStop.ReportPlayer.OSRFunctions.OSRGet("ActualTransaction","AcAm")</f>
        <v>#NAME?</v>
      </c>
      <c r="H19" s="25" t="e">
        <f t="shared" ca="1" si="0"/>
        <v>#NAME?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2:26" s="6" customFormat="1" collapsed="1">
      <c r="B20" s="10" t="s">
        <v>14</v>
      </c>
      <c r="C20" s="18" t="e">
        <f ca="1">SUM(_xll.OneStop.ReportPlayer.OSRFunctions.OSRRef(C21))</f>
        <v>#NAME?</v>
      </c>
      <c r="D20" s="44" t="e">
        <f ca="1">SUM(_xll.OneStop.ReportPlayer.OSRFunctions.OSRRef(D21))</f>
        <v>#NAME?</v>
      </c>
      <c r="E20" s="16"/>
      <c r="F20" s="17" t="e">
        <f ca="1">SUM(_xll.OneStop.ReportPlayer.OSRFunctions.OSRRef(F21))</f>
        <v>#NAME?</v>
      </c>
      <c r="G20" s="19" t="e">
        <f ca="1">SUM(_xll.OneStop.ReportPlayer.OSRFunctions.OSRRef(G21))</f>
        <v>#NAME?</v>
      </c>
      <c r="H20" s="20" t="e">
        <f t="shared" ca="1" si="0"/>
        <v>#NAME?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6" s="8" customFormat="1" hidden="1" outlineLevel="1">
      <c r="B21" s="9" t="e">
        <f ca="1">_xll.OneStop.ReportPlayer.OSRFunctions.OSRGet("Account","AcNo")&amp;" - "&amp;_xll.OneStop.ReportPlayer.OSRFunctions.OSRGet("Account","Nm")</f>
        <v>#NAME?</v>
      </c>
      <c r="C21" s="23" t="e">
        <f ca="1">_xll.OneStop.ReportPlayer.OSRFunctions.OSRGet("ActualTransaction","AcAm")</f>
        <v>#NAME?</v>
      </c>
      <c r="D21" s="44" t="e">
        <f ca="1">_xll.OneStop.ReportPlayer.OSRFunctions.OSRGet("ActualTransaction","AcAm")</f>
        <v>#NAME?</v>
      </c>
      <c r="E21" s="24"/>
      <c r="F21" s="22" t="e">
        <f ca="1">_xll.OneStop.ReportPlayer.OSRFunctions.OSRGet("ActualTransaction","AcAm")</f>
        <v>#NAME?</v>
      </c>
      <c r="G21" s="21" t="e">
        <f ca="1">_xll.OneStop.ReportPlayer.OSRFunctions.OSRGet("ActualTransaction","AcAm")</f>
        <v>#NAME?</v>
      </c>
      <c r="H21" s="25" t="e">
        <f t="shared" ca="1" si="0"/>
        <v>#NAME?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2:26" s="6" customFormat="1" collapsed="1">
      <c r="B22" s="10" t="s">
        <v>15</v>
      </c>
      <c r="C22" s="18" t="e">
        <f ca="1">SUM(_xll.OneStop.ReportPlayer.OSRFunctions.OSRRef(C23))</f>
        <v>#NAME?</v>
      </c>
      <c r="D22" s="44" t="e">
        <f ca="1">SUM(_xll.OneStop.ReportPlayer.OSRFunctions.OSRRef(D23))</f>
        <v>#NAME?</v>
      </c>
      <c r="E22" s="16"/>
      <c r="F22" s="17" t="e">
        <f ca="1">SUM(_xll.OneStop.ReportPlayer.OSRFunctions.OSRRef(F23))</f>
        <v>#NAME?</v>
      </c>
      <c r="G22" s="19" t="e">
        <f ca="1">SUM(_xll.OneStop.ReportPlayer.OSRFunctions.OSRRef(G23))</f>
        <v>#NAME?</v>
      </c>
      <c r="H22" s="20" t="e">
        <f t="shared" ca="1" si="0"/>
        <v>#NAME?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6" s="8" customFormat="1" hidden="1" outlineLevel="1">
      <c r="B23" s="9" t="e">
        <f ca="1">_xll.OneStop.ReportPlayer.OSRFunctions.OSRGet("Account","AcNo")&amp;" - "&amp;_xll.OneStop.ReportPlayer.OSRFunctions.OSRGet("Account","Nm")</f>
        <v>#NAME?</v>
      </c>
      <c r="C23" s="23" t="e">
        <f ca="1">_xll.OneStop.ReportPlayer.OSRFunctions.OSRGet("ActualTransaction","AcAm")</f>
        <v>#NAME?</v>
      </c>
      <c r="D23" s="44" t="e">
        <f ca="1">_xll.OneStop.ReportPlayer.OSRFunctions.OSRGet("ActualTransaction","AcAm")</f>
        <v>#NAME?</v>
      </c>
      <c r="E23" s="24"/>
      <c r="F23" s="22" t="e">
        <f ca="1">_xll.OneStop.ReportPlayer.OSRFunctions.OSRGet("ActualTransaction","AcAm")</f>
        <v>#NAME?</v>
      </c>
      <c r="G23" s="21" t="e">
        <f ca="1">_xll.OneStop.ReportPlayer.OSRFunctions.OSRGet("ActualTransaction","AcAm")</f>
        <v>#NAME?</v>
      </c>
      <c r="H23" s="25" t="e">
        <f t="shared" ca="1" si="0"/>
        <v>#NAME?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2:26" s="6" customFormat="1" collapsed="1">
      <c r="B24" s="33" t="s">
        <v>16</v>
      </c>
      <c r="C24" s="41" t="e">
        <f t="shared" ref="C24:D24" ca="1" si="3">C16+C18+C20+C22</f>
        <v>#NAME?</v>
      </c>
      <c r="D24" s="42" t="e">
        <f t="shared" ca="1" si="3"/>
        <v>#NAME?</v>
      </c>
      <c r="E24" s="32"/>
      <c r="F24" s="45" t="e">
        <f t="shared" ref="F24:G24" ca="1" si="4">F16+F18+F20+F22</f>
        <v>#NAME?</v>
      </c>
      <c r="G24" s="40" t="e">
        <f t="shared" ca="1" si="4"/>
        <v>#NAME?</v>
      </c>
      <c r="H24" s="55" t="e">
        <f t="shared" ca="1" si="0"/>
        <v>#NAME?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6">
      <c r="B25" s="36"/>
      <c r="C25" s="18"/>
      <c r="D25" s="87"/>
      <c r="E25" s="16"/>
      <c r="F25" s="17"/>
      <c r="G25" s="19"/>
      <c r="H25" s="20">
        <f t="shared" si="0"/>
        <v>0</v>
      </c>
    </row>
    <row r="26" spans="2:26" s="6" customFormat="1" ht="15" thickBot="1">
      <c r="B26" s="48" t="s">
        <v>17</v>
      </c>
      <c r="C26" s="81" t="e">
        <f t="shared" ref="C26:D26" ca="1" si="5">C14-C24</f>
        <v>#NAME?</v>
      </c>
      <c r="D26" s="84" t="e">
        <f t="shared" ca="1" si="5"/>
        <v>#NAME?</v>
      </c>
      <c r="E26" s="32"/>
      <c r="F26" s="65" t="e">
        <f t="shared" ref="F26:G26" ca="1" si="6">F14-F24</f>
        <v>#NAME?</v>
      </c>
      <c r="G26" s="75" t="e">
        <f t="shared" ca="1" si="6"/>
        <v>#NAME?</v>
      </c>
      <c r="H26" s="88" t="e">
        <f t="shared" ca="1" si="0"/>
        <v>#NAME?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6" s="6" customFormat="1" ht="15" thickTop="1">
      <c r="B27" s="10"/>
      <c r="C27" s="18"/>
      <c r="D27" s="44"/>
      <c r="E27" s="16"/>
      <c r="F27" s="17"/>
      <c r="G27" s="19"/>
      <c r="H27" s="20">
        <f t="shared" si="0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6" s="6" customFormat="1">
      <c r="B28" s="10" t="s">
        <v>18</v>
      </c>
      <c r="C28" s="18" t="e">
        <f ca="1">SUM(_xll.OneStop.ReportPlayer.OSRFunctions.OSRRef(C29))</f>
        <v>#NAME?</v>
      </c>
      <c r="D28" s="44" t="e">
        <f ca="1">SUM(_xll.OneStop.ReportPlayer.OSRFunctions.OSRRef(D29))</f>
        <v>#NAME?</v>
      </c>
      <c r="E28" s="16"/>
      <c r="F28" s="17" t="e">
        <f ca="1">SUM(_xll.OneStop.ReportPlayer.OSRFunctions.OSRRef(F29))</f>
        <v>#NAME?</v>
      </c>
      <c r="G28" s="19" t="e">
        <f ca="1">SUM(_xll.OneStop.ReportPlayer.OSRFunctions.OSRRef(G29))</f>
        <v>#NAME?</v>
      </c>
      <c r="H28" s="20" t="e">
        <f t="shared" ca="1" si="0"/>
        <v>#NAME?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6" s="8" customFormat="1" hidden="1" outlineLevel="1">
      <c r="B29" s="9" t="e">
        <f ca="1">_xll.OneStop.ReportPlayer.OSRFunctions.OSRGet("Account","AcNo")&amp;" - "&amp;_xll.OneStop.ReportPlayer.OSRFunctions.OSRGet("Account","Nm")</f>
        <v>#NAME?</v>
      </c>
      <c r="C29" s="23" t="e">
        <f ca="1">_xll.OneStop.ReportPlayer.OSRFunctions.OSRGet("ActualTransaction","AcAm")*-1</f>
        <v>#NAME?</v>
      </c>
      <c r="D29" s="44" t="e">
        <f ca="1">_xll.OneStop.ReportPlayer.OSRFunctions.OSRGet("ActualTransaction","AcAm")*-1</f>
        <v>#NAME?</v>
      </c>
      <c r="E29" s="24"/>
      <c r="F29" s="22" t="e">
        <f ca="1">_xll.OneStop.ReportPlayer.OSRFunctions.OSRGet("ActualTransaction","AcAm")*-1</f>
        <v>#NAME?</v>
      </c>
      <c r="G29" s="21" t="e">
        <f ca="1">_xll.OneStop.ReportPlayer.OSRFunctions.OSRGet("ActualTransaction","AcAm")*-1</f>
        <v>#NAME?</v>
      </c>
      <c r="H29" s="25" t="e">
        <f t="shared" ca="1" si="0"/>
        <v>#NAME?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Z29" s="8" t="s">
        <v>19</v>
      </c>
    </row>
    <row r="30" spans="2:26" s="6" customFormat="1" collapsed="1">
      <c r="B30" s="10" t="s">
        <v>20</v>
      </c>
      <c r="C30" s="18" t="e">
        <f ca="1">SUM(_xll.OneStop.ReportPlayer.OSRFunctions.OSRRef(C31))</f>
        <v>#NAME?</v>
      </c>
      <c r="D30" s="44" t="e">
        <f ca="1">SUM(_xll.OneStop.ReportPlayer.OSRFunctions.OSRRef(D31))</f>
        <v>#NAME?</v>
      </c>
      <c r="E30" s="16"/>
      <c r="F30" s="17" t="e">
        <f ca="1">SUM(_xll.OneStop.ReportPlayer.OSRFunctions.OSRRef(F31))</f>
        <v>#NAME?</v>
      </c>
      <c r="G30" s="19" t="e">
        <f ca="1">SUM(_xll.OneStop.ReportPlayer.OSRFunctions.OSRRef(G31))</f>
        <v>#NAME?</v>
      </c>
      <c r="H30" s="20" t="e">
        <f t="shared" ca="1" si="0"/>
        <v>#NAME?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6" s="8" customFormat="1" hidden="1" outlineLevel="1">
      <c r="B31" s="9" t="e">
        <f ca="1">_xll.OneStop.ReportPlayer.OSRFunctions.OSRGet("Account","AcNo")&amp;" - "&amp;_xll.OneStop.ReportPlayer.OSRFunctions.OSRGet("Account","Nm")</f>
        <v>#NAME?</v>
      </c>
      <c r="C31" s="23" t="e">
        <f ca="1">_xll.OneStop.ReportPlayer.OSRFunctions.OSRGet("ActualTransaction","AcAm")</f>
        <v>#NAME?</v>
      </c>
      <c r="D31" s="44" t="e">
        <f ca="1">_xll.OneStop.ReportPlayer.OSRFunctions.OSRGet("ActualTransaction","AcAm")</f>
        <v>#NAME?</v>
      </c>
      <c r="E31" s="24"/>
      <c r="F31" s="22" t="e">
        <f ca="1">_xll.OneStop.ReportPlayer.OSRFunctions.OSRGet("ActualTransaction","AcAm")</f>
        <v>#NAME?</v>
      </c>
      <c r="G31" s="21" t="e">
        <f ca="1">_xll.OneStop.ReportPlayer.OSRFunctions.OSRGet("ActualTransaction","AcAm")</f>
        <v>#NAME?</v>
      </c>
      <c r="H31" s="20" t="e">
        <f t="shared" ca="1" si="0"/>
        <v>#NAME?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2:26" s="6" customFormat="1" collapsed="1">
      <c r="B32" s="33" t="s">
        <v>21</v>
      </c>
      <c r="C32" s="41" t="e">
        <f t="shared" ref="C32:D32" ca="1" si="7">C26+C28-C30</f>
        <v>#NAME?</v>
      </c>
      <c r="D32" s="42" t="e">
        <f t="shared" ca="1" si="7"/>
        <v>#NAME?</v>
      </c>
      <c r="E32" s="32"/>
      <c r="F32" s="45" t="e">
        <f t="shared" ref="F32:G32" ca="1" si="8">F26+F28-F30</f>
        <v>#NAME?</v>
      </c>
      <c r="G32" s="40" t="e">
        <f t="shared" ca="1" si="8"/>
        <v>#NAME?</v>
      </c>
      <c r="H32" s="67" t="e">
        <f t="shared" ca="1" si="0"/>
        <v>#NAME?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51">
      <c r="B33" s="38"/>
      <c r="E33" s="32"/>
      <c r="H33" s="43"/>
    </row>
    <row r="34" spans="2:51" ht="15.5">
      <c r="B34" s="38"/>
      <c r="C34" s="38"/>
      <c r="D34" s="38"/>
      <c r="E34" s="59"/>
      <c r="F34" s="29"/>
      <c r="H34" s="74" t="s">
        <v>22</v>
      </c>
    </row>
    <row r="35" spans="2:51" ht="15" customHeight="1">
      <c r="B35" s="56" t="s">
        <v>23</v>
      </c>
      <c r="C35" s="117" t="s">
        <v>24</v>
      </c>
      <c r="D35" s="118"/>
      <c r="E35" s="32"/>
      <c r="F35" s="119" t="s">
        <v>25</v>
      </c>
      <c r="G35" s="120"/>
      <c r="H35" s="121"/>
    </row>
    <row r="36" spans="2:51">
      <c r="B36" s="37" t="s">
        <v>26</v>
      </c>
      <c r="C36" s="11" t="str">
        <f t="shared" ref="C36:D36" ca="1" si="9">IF(ISERROR((C6-C16)/C6),"",((C6-C16)/C6))</f>
        <v/>
      </c>
      <c r="D36" s="46" t="str">
        <f t="shared" ca="1" si="9"/>
        <v/>
      </c>
      <c r="E36" s="32"/>
      <c r="F36" s="11" t="str">
        <f t="shared" ref="F36:G36" ca="1" si="10">IF(ISERROR((F6-F16)/F6),"",((F6-F16)/F6))</f>
        <v/>
      </c>
      <c r="G36" s="51" t="str">
        <f t="shared" ca="1" si="10"/>
        <v/>
      </c>
      <c r="H36" s="11"/>
    </row>
    <row r="37" spans="2:51">
      <c r="B37" s="37" t="s">
        <v>27</v>
      </c>
      <c r="C37" s="11" t="str">
        <f t="shared" ref="C37:D37" ca="1" si="11">IF(ISERROR(C18/C6),"",(C18/C6))</f>
        <v/>
      </c>
      <c r="D37" s="46" t="str">
        <f t="shared" ca="1" si="11"/>
        <v/>
      </c>
      <c r="E37" s="32"/>
      <c r="F37" s="11" t="str">
        <f t="shared" ref="F37:G37" ca="1" si="12">IF(ISERROR(F18/F6),"",(F18/F6))</f>
        <v/>
      </c>
      <c r="G37" s="51" t="str">
        <f t="shared" ca="1" si="12"/>
        <v/>
      </c>
      <c r="H37" s="11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51">
      <c r="B38" s="37" t="s">
        <v>28</v>
      </c>
      <c r="C38" s="11" t="str">
        <f t="shared" ref="C38:D38" ca="1" si="13">IF(ISERROR(C24/C6),"",(C24/C6))</f>
        <v/>
      </c>
      <c r="D38" s="46" t="str">
        <f t="shared" ca="1" si="13"/>
        <v/>
      </c>
      <c r="E38" s="32"/>
      <c r="F38" s="11" t="str">
        <f t="shared" ref="F38:G38" ca="1" si="14">IF(ISERROR(F24/F6),"",(F24/F6))</f>
        <v/>
      </c>
      <c r="G38" s="51" t="str">
        <f t="shared" ca="1" si="14"/>
        <v/>
      </c>
      <c r="H38" s="11"/>
    </row>
    <row r="39" spans="2:51">
      <c r="B39" s="39" t="s">
        <v>29</v>
      </c>
      <c r="C39" s="26" t="str">
        <f t="shared" ref="C39:D39" ca="1" si="15">IF(ISERROR(C32/C14),"",(C32/C14))</f>
        <v/>
      </c>
      <c r="D39" s="47" t="str">
        <f t="shared" ca="1" si="15"/>
        <v/>
      </c>
      <c r="E39" s="58"/>
      <c r="F39" s="26" t="str">
        <f t="shared" ref="F39:G39" ca="1" si="16">IF(ISERROR(F32/F14),"",(F32/F14))</f>
        <v/>
      </c>
      <c r="G39" s="54" t="str">
        <f t="shared" ca="1" si="16"/>
        <v/>
      </c>
      <c r="H39" s="26"/>
    </row>
    <row r="40" spans="2:51" hidden="1">
      <c r="B40" s="37" t="s">
        <v>30</v>
      </c>
      <c r="C40" s="89"/>
      <c r="D40" s="46"/>
      <c r="E40" s="32"/>
      <c r="F40" s="11"/>
      <c r="G40" s="51"/>
      <c r="H40" s="68"/>
    </row>
    <row r="41" spans="2:51" hidden="1">
      <c r="B41" s="39" t="s">
        <v>31</v>
      </c>
      <c r="C41" s="78"/>
      <c r="D41" s="47"/>
      <c r="E41" s="32"/>
      <c r="F41" s="31" t="str">
        <f ca="1">IF(ISERROR(F32/(#REF!+#REF!)/2),"",(F32/(#REF!+#REF!)/2))</f>
        <v/>
      </c>
      <c r="G41" s="54"/>
      <c r="H41" s="31"/>
    </row>
    <row r="42" spans="2:51"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Z42" s="110"/>
      <c r="AA42" s="110"/>
      <c r="AB42" s="110"/>
      <c r="AC42" s="110"/>
      <c r="AD42" s="110"/>
      <c r="AE42" s="110"/>
      <c r="AF42" s="110"/>
      <c r="AG42" s="110"/>
      <c r="AH42" s="110"/>
      <c r="AI42" s="110"/>
      <c r="AJ42" s="110"/>
      <c r="AK42" s="110"/>
      <c r="AL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</row>
    <row r="43" spans="2:51" ht="15.5">
      <c r="B43" s="69" t="s">
        <v>32</v>
      </c>
      <c r="C43" s="50"/>
      <c r="D43" s="86"/>
      <c r="E43" s="50"/>
      <c r="F43" s="60"/>
      <c r="G43" s="52"/>
      <c r="H43" s="52"/>
      <c r="K43" s="43">
        <v>1</v>
      </c>
      <c r="L43" s="43">
        <v>2</v>
      </c>
      <c r="M43" s="43">
        <v>3</v>
      </c>
      <c r="N43" s="43">
        <v>4</v>
      </c>
      <c r="O43" s="43">
        <v>5</v>
      </c>
      <c r="P43" s="43">
        <v>6</v>
      </c>
      <c r="Q43" s="43">
        <v>7</v>
      </c>
      <c r="R43" s="43">
        <v>8</v>
      </c>
      <c r="S43" s="43">
        <v>9</v>
      </c>
      <c r="T43" s="43">
        <v>10</v>
      </c>
      <c r="U43" s="43">
        <v>11</v>
      </c>
      <c r="V43" s="43">
        <v>12</v>
      </c>
      <c r="X43" s="5"/>
    </row>
    <row r="44" spans="2:51">
      <c r="K44" s="43" t="s">
        <v>33</v>
      </c>
      <c r="L44" s="43" t="s">
        <v>34</v>
      </c>
      <c r="M44" s="43" t="s">
        <v>35</v>
      </c>
      <c r="N44" s="43" t="s">
        <v>36</v>
      </c>
      <c r="O44" s="43" t="s">
        <v>37</v>
      </c>
      <c r="P44" s="43" t="s">
        <v>38</v>
      </c>
      <c r="Q44" s="43" t="s">
        <v>39</v>
      </c>
      <c r="R44" s="43" t="s">
        <v>40</v>
      </c>
      <c r="S44" s="43" t="s">
        <v>41</v>
      </c>
      <c r="T44" s="43" t="s">
        <v>42</v>
      </c>
      <c r="U44" s="43" t="s">
        <v>43</v>
      </c>
      <c r="V44" s="43" t="s">
        <v>44</v>
      </c>
      <c r="X44" s="5"/>
    </row>
    <row r="45" spans="2:51">
      <c r="J45" s="43" t="s">
        <v>45</v>
      </c>
      <c r="K45" s="15" t="e">
        <f ca="1">_xll.OneStop.ReportPlayer.OSRFunctions.OSRGet("ActualTransaction","AcAm")*-1</f>
        <v>#NAME?</v>
      </c>
      <c r="L45" s="15" t="e">
        <f ca="1">_xll.OneStop.ReportPlayer.OSRFunctions.OSRGet("ActualTransaction","AcAm")*-1</f>
        <v>#NAME?</v>
      </c>
      <c r="M45" s="15" t="e">
        <f ca="1">_xll.OneStop.ReportPlayer.OSRFunctions.OSRGet("ActualTransaction","AcAm")*-1</f>
        <v>#NAME?</v>
      </c>
      <c r="N45" s="15" t="e">
        <f ca="1">_xll.OneStop.ReportPlayer.OSRFunctions.OSRGet("ActualTransaction","AcAm")*-1</f>
        <v>#NAME?</v>
      </c>
      <c r="O45" s="15" t="e">
        <f ca="1">_xll.OneStop.ReportPlayer.OSRFunctions.OSRGet("ActualTransaction","AcAm")*-1</f>
        <v>#NAME?</v>
      </c>
      <c r="P45" s="15" t="e">
        <f ca="1">_xll.OneStop.ReportPlayer.OSRFunctions.OSRGet("ActualTransaction","AcAm")*-1</f>
        <v>#NAME?</v>
      </c>
      <c r="Q45" s="15" t="e">
        <f ca="1">_xll.OneStop.ReportPlayer.OSRFunctions.OSRGet("ActualTransaction","AcAm")*-1</f>
        <v>#NAME?</v>
      </c>
      <c r="R45" s="15" t="e">
        <f ca="1">_xll.OneStop.ReportPlayer.OSRFunctions.OSRGet("ActualTransaction","AcAm")*-1</f>
        <v>#NAME?</v>
      </c>
      <c r="S45" s="15" t="e">
        <f ca="1">_xll.OneStop.ReportPlayer.OSRFunctions.OSRGet("ActualTransaction","AcAm")*-1</f>
        <v>#NAME?</v>
      </c>
      <c r="T45" s="15" t="e">
        <f ca="1">_xll.OneStop.ReportPlayer.OSRFunctions.OSRGet("ActualTransaction","AcAm")*-1</f>
        <v>#NAME?</v>
      </c>
      <c r="U45" s="15" t="e">
        <f ca="1">_xll.OneStop.ReportPlayer.OSRFunctions.OSRGet("ActualTransaction","AcAm")*-1</f>
        <v>#NAME?</v>
      </c>
      <c r="V45" s="15" t="e">
        <f ca="1">_xll.OneStop.ReportPlayer.OSRFunctions.OSRGet("ActualTransaction","AcAm")*-1</f>
        <v>#NAME?</v>
      </c>
      <c r="X45" s="5"/>
    </row>
    <row r="46" spans="2:51">
      <c r="J46" s="43" t="s">
        <v>46</v>
      </c>
      <c r="K46" s="15" t="e">
        <f ca="1">_xll.OneStop.ReportPlayer.OSRFunctions.OSRGet("ActualTransaction","AcAm")*-1</f>
        <v>#NAME?</v>
      </c>
      <c r="L46" s="15" t="e">
        <f ca="1">_xll.OneStop.ReportPlayer.OSRFunctions.OSRGet("ActualTransaction","AcAm")*-1</f>
        <v>#NAME?</v>
      </c>
      <c r="M46" s="15" t="e">
        <f ca="1">_xll.OneStop.ReportPlayer.OSRFunctions.OSRGet("ActualTransaction","AcAm")*-1</f>
        <v>#NAME?</v>
      </c>
      <c r="N46" s="15" t="e">
        <f ca="1">_xll.OneStop.ReportPlayer.OSRFunctions.OSRGet("ActualTransaction","AcAm")*-1</f>
        <v>#NAME?</v>
      </c>
      <c r="O46" s="15" t="e">
        <f ca="1">_xll.OneStop.ReportPlayer.OSRFunctions.OSRGet("ActualTransaction","AcAm")*-1</f>
        <v>#NAME?</v>
      </c>
      <c r="P46" s="15" t="e">
        <f ca="1">_xll.OneStop.ReportPlayer.OSRFunctions.OSRGet("ActualTransaction","AcAm")*-1</f>
        <v>#NAME?</v>
      </c>
      <c r="Q46" s="15" t="e">
        <f ca="1">_xll.OneStop.ReportPlayer.OSRFunctions.OSRGet("ActualTransaction","AcAm")*-1</f>
        <v>#NAME?</v>
      </c>
      <c r="R46" s="15" t="e">
        <f ca="1">_xll.OneStop.ReportPlayer.OSRFunctions.OSRGet("ActualTransaction","AcAm")*-1</f>
        <v>#NAME?</v>
      </c>
      <c r="S46" s="15" t="e">
        <f ca="1">_xll.OneStop.ReportPlayer.OSRFunctions.OSRGet("ActualTransaction","AcAm")*-1</f>
        <v>#NAME?</v>
      </c>
      <c r="T46" s="15" t="e">
        <f ca="1">_xll.OneStop.ReportPlayer.OSRFunctions.OSRGet("ActualTransaction","AcAm")*-1</f>
        <v>#NAME?</v>
      </c>
      <c r="U46" s="15" t="e">
        <f ca="1">_xll.OneStop.ReportPlayer.OSRFunctions.OSRGet("ActualTransaction","AcAm")*-1</f>
        <v>#NAME?</v>
      </c>
      <c r="V46" s="15" t="e">
        <f ca="1">_xll.OneStop.ReportPlayer.OSRFunctions.OSRGet("ActualTransaction","AcAm")*-1</f>
        <v>#NAME?</v>
      </c>
      <c r="X46" s="5"/>
    </row>
    <row r="47" spans="2:51">
      <c r="J47" s="43" t="s">
        <v>47</v>
      </c>
      <c r="K47" s="43" t="e">
        <f ca="1">K45-K46</f>
        <v>#NAME?</v>
      </c>
      <c r="L47" s="43" t="e">
        <f t="shared" ref="L47:V47" ca="1" si="17">(L45-L46)+K47</f>
        <v>#NAME?</v>
      </c>
      <c r="M47" s="43" t="e">
        <f t="shared" ca="1" si="17"/>
        <v>#NAME?</v>
      </c>
      <c r="N47" s="43" t="e">
        <f t="shared" ca="1" si="17"/>
        <v>#NAME?</v>
      </c>
      <c r="O47" s="43" t="e">
        <f t="shared" ca="1" si="17"/>
        <v>#NAME?</v>
      </c>
      <c r="P47" s="43" t="e">
        <f t="shared" ca="1" si="17"/>
        <v>#NAME?</v>
      </c>
      <c r="Q47" s="43" t="e">
        <f t="shared" ca="1" si="17"/>
        <v>#NAME?</v>
      </c>
      <c r="R47" s="43" t="e">
        <f t="shared" ca="1" si="17"/>
        <v>#NAME?</v>
      </c>
      <c r="S47" s="43" t="e">
        <f t="shared" ca="1" si="17"/>
        <v>#NAME?</v>
      </c>
      <c r="T47" s="43" t="e">
        <f t="shared" ca="1" si="17"/>
        <v>#NAME?</v>
      </c>
      <c r="U47" s="43" t="e">
        <f t="shared" ca="1" si="17"/>
        <v>#NAME?</v>
      </c>
      <c r="V47" s="43" t="e">
        <f t="shared" ca="1" si="17"/>
        <v>#NAME?</v>
      </c>
      <c r="X47" s="5"/>
    </row>
    <row r="48" spans="2:51">
      <c r="X48" s="5"/>
    </row>
    <row r="49" spans="2:24">
      <c r="X49" s="5"/>
    </row>
    <row r="50" spans="2:24">
      <c r="X50" s="5"/>
    </row>
    <row r="51" spans="2:24">
      <c r="K51" s="43" t="s">
        <v>33</v>
      </c>
      <c r="L51" s="43" t="s">
        <v>34</v>
      </c>
      <c r="M51" s="43" t="s">
        <v>35</v>
      </c>
      <c r="N51" s="43" t="s">
        <v>36</v>
      </c>
      <c r="O51" s="43" t="s">
        <v>37</v>
      </c>
      <c r="P51" s="43" t="s">
        <v>38</v>
      </c>
      <c r="Q51" s="43" t="s">
        <v>39</v>
      </c>
      <c r="R51" s="43" t="s">
        <v>40</v>
      </c>
      <c r="S51" s="43" t="s">
        <v>41</v>
      </c>
      <c r="T51" s="43" t="s">
        <v>42</v>
      </c>
      <c r="U51" s="43" t="s">
        <v>43</v>
      </c>
      <c r="V51" s="43" t="s">
        <v>44</v>
      </c>
      <c r="X51" s="5"/>
    </row>
    <row r="52" spans="2:24">
      <c r="J52" s="43" t="s">
        <v>48</v>
      </c>
      <c r="K52" s="14" t="e">
        <f t="shared" ref="K52:V52" ca="1" si="18">IF(K43&lt;($C$2+1),K45,0)</f>
        <v>#NAME?</v>
      </c>
      <c r="L52" s="14" t="e">
        <f t="shared" ca="1" si="18"/>
        <v>#NAME?</v>
      </c>
      <c r="M52" s="14" t="e">
        <f t="shared" ca="1" si="18"/>
        <v>#NAME?</v>
      </c>
      <c r="N52" s="14" t="e">
        <f t="shared" ca="1" si="18"/>
        <v>#NAME?</v>
      </c>
      <c r="O52" s="14" t="e">
        <f t="shared" ca="1" si="18"/>
        <v>#NAME?</v>
      </c>
      <c r="P52" s="14" t="e">
        <f t="shared" ca="1" si="18"/>
        <v>#NAME?</v>
      </c>
      <c r="Q52" s="14" t="e">
        <f t="shared" ca="1" si="18"/>
        <v>#NAME?</v>
      </c>
      <c r="R52" s="14" t="e">
        <f t="shared" ca="1" si="18"/>
        <v>#NAME?</v>
      </c>
      <c r="S52" s="14" t="e">
        <f t="shared" ca="1" si="18"/>
        <v>#NAME?</v>
      </c>
      <c r="T52" s="14" t="e">
        <f t="shared" ca="1" si="18"/>
        <v>#NAME?</v>
      </c>
      <c r="U52" s="14" t="e">
        <f t="shared" ca="1" si="18"/>
        <v>#NAME?</v>
      </c>
      <c r="V52" s="14" t="e">
        <f t="shared" ca="1" si="18"/>
        <v>#NAME?</v>
      </c>
      <c r="X52" s="5"/>
    </row>
    <row r="53" spans="2:24">
      <c r="J53" s="43" t="s">
        <v>49</v>
      </c>
      <c r="K53" s="14" t="e">
        <f t="shared" ref="K53:V53" ca="1" si="19">IF(K43&lt;($C$2+1),K46,0)</f>
        <v>#NAME?</v>
      </c>
      <c r="L53" s="14" t="e">
        <f t="shared" ca="1" si="19"/>
        <v>#NAME?</v>
      </c>
      <c r="M53" s="14" t="e">
        <f t="shared" ca="1" si="19"/>
        <v>#NAME?</v>
      </c>
      <c r="N53" s="14" t="e">
        <f t="shared" ca="1" si="19"/>
        <v>#NAME?</v>
      </c>
      <c r="O53" s="14" t="e">
        <f t="shared" ca="1" si="19"/>
        <v>#NAME?</v>
      </c>
      <c r="P53" s="14" t="e">
        <f t="shared" ca="1" si="19"/>
        <v>#NAME?</v>
      </c>
      <c r="Q53" s="14" t="e">
        <f t="shared" ca="1" si="19"/>
        <v>#NAME?</v>
      </c>
      <c r="R53" s="14" t="e">
        <f t="shared" ca="1" si="19"/>
        <v>#NAME?</v>
      </c>
      <c r="S53" s="14" t="e">
        <f t="shared" ca="1" si="19"/>
        <v>#NAME?</v>
      </c>
      <c r="T53" s="14" t="e">
        <f t="shared" ca="1" si="19"/>
        <v>#NAME?</v>
      </c>
      <c r="U53" s="14" t="e">
        <f t="shared" ca="1" si="19"/>
        <v>#NAME?</v>
      </c>
      <c r="V53" s="14" t="e">
        <f t="shared" ca="1" si="19"/>
        <v>#NAME?</v>
      </c>
    </row>
    <row r="54" spans="2:24" ht="15.5">
      <c r="B54" s="34"/>
      <c r="C54" s="34"/>
      <c r="D54" s="34"/>
      <c r="E54" s="34"/>
      <c r="F54" s="34"/>
      <c r="J54" s="43" t="s">
        <v>50</v>
      </c>
      <c r="K54" s="14" t="e">
        <f t="shared" ref="K54:V54" ca="1" si="20">IF(K43&lt;($C$2+1),K47,NA())</f>
        <v>#NAME?</v>
      </c>
      <c r="L54" s="14" t="e">
        <f t="shared" ca="1" si="20"/>
        <v>#NAME?</v>
      </c>
      <c r="M54" s="14" t="e">
        <f t="shared" ca="1" si="20"/>
        <v>#NAME?</v>
      </c>
      <c r="N54" s="14" t="e">
        <f t="shared" ca="1" si="20"/>
        <v>#NAME?</v>
      </c>
      <c r="O54" s="14" t="e">
        <f t="shared" ca="1" si="20"/>
        <v>#NAME?</v>
      </c>
      <c r="P54" s="14" t="e">
        <f t="shared" ca="1" si="20"/>
        <v>#NAME?</v>
      </c>
      <c r="Q54" s="14" t="e">
        <f t="shared" ca="1" si="20"/>
        <v>#NAME?</v>
      </c>
      <c r="R54" s="14" t="e">
        <f t="shared" ca="1" si="20"/>
        <v>#NAME?</v>
      </c>
      <c r="S54" s="14" t="e">
        <f t="shared" ca="1" si="20"/>
        <v>#NAME?</v>
      </c>
      <c r="T54" s="14" t="e">
        <f t="shared" ca="1" si="20"/>
        <v>#NAME?</v>
      </c>
      <c r="U54" s="14" t="e">
        <f t="shared" ca="1" si="20"/>
        <v>#NAME?</v>
      </c>
      <c r="V54" s="14" t="e">
        <f t="shared" ca="1" si="20"/>
        <v>#NAME?</v>
      </c>
    </row>
    <row r="55" spans="2:24" ht="15.5">
      <c r="B55" s="34"/>
      <c r="C55" s="34"/>
      <c r="D55" s="34"/>
      <c r="E55" s="34"/>
      <c r="F55" s="34"/>
    </row>
    <row r="60" spans="2:24"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</sheetData>
  <mergeCells count="8">
    <mergeCell ref="Z42:AL42"/>
    <mergeCell ref="AN42:AY42"/>
    <mergeCell ref="G2:H2"/>
    <mergeCell ref="B4:B5"/>
    <mergeCell ref="C4:D4"/>
    <mergeCell ref="F4:G4"/>
    <mergeCell ref="C35:D35"/>
    <mergeCell ref="F35:H35"/>
  </mergeCells>
  <pageMargins left="0.25" right="0.25" top="0.75" bottom="0.75" header="0.3" footer="0.3"/>
  <pageSetup paperSize="9" scale="96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50"/>
  <sheetViews>
    <sheetView showGridLines="0" tabSelected="1" topLeftCell="B19" zoomScaleNormal="100" workbookViewId="0">
      <selection activeCell="F41" sqref="F41"/>
    </sheetView>
  </sheetViews>
  <sheetFormatPr baseColWidth="10" defaultColWidth="11.453125" defaultRowHeight="14.5" outlineLevelRow="1"/>
  <cols>
    <col min="1" max="1" width="1.54296875" hidden="1" customWidth="1"/>
    <col min="2" max="2" width="40" customWidth="1"/>
    <col min="3" max="3" width="15.90625" customWidth="1"/>
    <col min="4" max="4" width="15.08984375" style="43" customWidth="1"/>
    <col min="5" max="5" width="15.453125" customWidth="1"/>
    <col min="6" max="6" width="15.54296875" customWidth="1"/>
  </cols>
  <sheetData>
    <row r="1" spans="2:6" ht="21">
      <c r="B1" s="57" t="s">
        <v>56</v>
      </c>
      <c r="C1" s="62"/>
      <c r="D1" s="59"/>
    </row>
    <row r="2" spans="2:6" ht="21">
      <c r="B2" s="49" t="s">
        <v>58</v>
      </c>
      <c r="C2" s="62"/>
      <c r="D2" s="59"/>
    </row>
    <row r="3" spans="2:6">
      <c r="B3" s="53"/>
      <c r="C3" s="62"/>
      <c r="D3" s="59"/>
    </row>
    <row r="4" spans="2:6" ht="15.75" customHeight="1">
      <c r="B4" s="112" t="s">
        <v>0</v>
      </c>
      <c r="C4" s="99" t="s">
        <v>57</v>
      </c>
      <c r="D4" s="99" t="s">
        <v>57</v>
      </c>
      <c r="E4" s="99" t="s">
        <v>57</v>
      </c>
      <c r="F4" s="99" t="s">
        <v>57</v>
      </c>
    </row>
    <row r="5" spans="2:6" ht="15.5">
      <c r="B5" s="122"/>
      <c r="C5" s="100" t="s">
        <v>61</v>
      </c>
      <c r="D5" s="100" t="s">
        <v>62</v>
      </c>
      <c r="E5" s="100" t="s">
        <v>63</v>
      </c>
      <c r="F5" s="100" t="s">
        <v>64</v>
      </c>
    </row>
    <row r="6" spans="2:6" s="6" customFormat="1">
      <c r="B6" s="80" t="s">
        <v>7</v>
      </c>
      <c r="C6" s="96">
        <f>SUM(SUM(C7:C9))</f>
        <v>54437</v>
      </c>
      <c r="D6" s="96">
        <f>SUM(D8:D9)</f>
        <v>80000</v>
      </c>
      <c r="E6" s="96">
        <f>SUM(SUM(E7:E9))</f>
        <v>85800</v>
      </c>
      <c r="F6" s="96">
        <f>SUM(SUM(F7:F9))</f>
        <v>60000</v>
      </c>
    </row>
    <row r="7" spans="2:6" s="8" customFormat="1" outlineLevel="1">
      <c r="B7" s="9" t="str">
        <f>3200&amp;" - "&amp;"Salg kiosk m.m. utenfor avg.omr."</f>
        <v>3200 - Salg kiosk m.m. utenfor avg.omr.</v>
      </c>
      <c r="C7" s="90"/>
      <c r="D7" s="103"/>
      <c r="E7" s="90"/>
      <c r="F7" s="103"/>
    </row>
    <row r="8" spans="2:6" s="8" customFormat="1" outlineLevel="1">
      <c r="B8" s="9" t="str">
        <f>3201&amp;" - "&amp;"Sponsorinntekter, utenfor avg.omr."</f>
        <v>3201 - Sponsorinntekter, utenfor avg.omr.</v>
      </c>
      <c r="C8" s="91"/>
      <c r="D8" s="104"/>
      <c r="E8" s="91"/>
      <c r="F8" s="104"/>
    </row>
    <row r="9" spans="2:6" s="8" customFormat="1" outlineLevel="1">
      <c r="B9" s="9" t="str">
        <f>3210&amp;" - "&amp;"Salg materiell, utenfor avg.omr."</f>
        <v>3210 - Salg materiell, utenfor avg.omr.</v>
      </c>
      <c r="C9" s="94">
        <f>-54437*-1</f>
        <v>54437</v>
      </c>
      <c r="D9" s="95">
        <v>80000</v>
      </c>
      <c r="E9" s="94">
        <f>-85800*-1</f>
        <v>85800</v>
      </c>
      <c r="F9" s="95">
        <v>60000</v>
      </c>
    </row>
    <row r="10" spans="2:6" s="6" customFormat="1">
      <c r="B10" s="10" t="s">
        <v>8</v>
      </c>
      <c r="C10" s="96">
        <f>SUM(C11:C13)</f>
        <v>102762.76999999999</v>
      </c>
      <c r="D10" s="105">
        <f>SUM(D11:D13)</f>
        <v>124000</v>
      </c>
      <c r="E10" s="96">
        <f>SUM(E11:E13)</f>
        <v>69214</v>
      </c>
      <c r="F10" s="96">
        <f>SUM(F11:F13)</f>
        <v>120000</v>
      </c>
    </row>
    <row r="11" spans="2:6" s="8" customFormat="1" outlineLevel="1">
      <c r="B11" s="9" t="str">
        <f>3400&amp;" - "&amp;"Offentlige tilskudd"</f>
        <v>3400 - Offentlige tilskudd</v>
      </c>
      <c r="C11" s="94">
        <f>-51383.77*-1</f>
        <v>51383.77</v>
      </c>
      <c r="D11" s="95">
        <v>55000</v>
      </c>
      <c r="E11" s="94"/>
      <c r="F11" s="95">
        <v>55000</v>
      </c>
    </row>
    <row r="12" spans="2:6" s="8" customFormat="1" outlineLevel="1">
      <c r="B12" s="9" t="s">
        <v>59</v>
      </c>
      <c r="C12" s="94">
        <f>-48007*-1</f>
        <v>48007</v>
      </c>
      <c r="D12" s="95">
        <v>69000</v>
      </c>
      <c r="E12" s="94">
        <f>-69214*-1</f>
        <v>69214</v>
      </c>
      <c r="F12" s="95">
        <v>65000</v>
      </c>
    </row>
    <row r="13" spans="2:6" s="8" customFormat="1" outlineLevel="1">
      <c r="B13" s="9" t="s">
        <v>60</v>
      </c>
      <c r="C13" s="95">
        <v>3372</v>
      </c>
      <c r="D13" s="95">
        <v>0</v>
      </c>
      <c r="E13" s="94"/>
      <c r="F13" s="95"/>
    </row>
    <row r="14" spans="2:6" s="6" customFormat="1">
      <c r="B14" s="10" t="s">
        <v>10</v>
      </c>
      <c r="C14" s="96">
        <f>SUM(C15:C18)</f>
        <v>7632.03</v>
      </c>
      <c r="D14" s="96">
        <f>SUM(D15:D18)</f>
        <v>4000</v>
      </c>
      <c r="E14" s="96">
        <f>SUM(E15:E18)</f>
        <v>1982</v>
      </c>
      <c r="F14" s="96">
        <f>SUM(F15:F18)</f>
        <v>9000</v>
      </c>
    </row>
    <row r="15" spans="2:6" s="6" customFormat="1">
      <c r="B15" s="9" t="str">
        <f>3940&amp;" - "&amp;"Egenandeler"</f>
        <v>3940 - Egenandeler</v>
      </c>
      <c r="C15" s="95">
        <v>3500</v>
      </c>
      <c r="D15" s="106"/>
      <c r="E15" s="95">
        <v>1972</v>
      </c>
      <c r="F15" s="106">
        <v>3000</v>
      </c>
    </row>
    <row r="16" spans="2:6" s="8" customFormat="1" outlineLevel="1">
      <c r="B16" s="9" t="str">
        <f>3950&amp;" - "&amp;"Turneringsinntekter, etc."</f>
        <v>3950 - Turneringsinntekter, etc.</v>
      </c>
      <c r="C16" s="91"/>
      <c r="D16" s="104"/>
      <c r="E16" s="91">
        <v>10</v>
      </c>
      <c r="F16" s="104">
        <v>2000</v>
      </c>
    </row>
    <row r="17" spans="2:6" s="8" customFormat="1" outlineLevel="1">
      <c r="B17" s="9" t="str">
        <f>3990&amp;" - "&amp;"Andre driftsinntekter, utenfor avg.området"</f>
        <v>3990 - Andre driftsinntekter, utenfor avg.området</v>
      </c>
      <c r="C17" s="95">
        <v>4132.03</v>
      </c>
      <c r="D17" s="95">
        <v>4000</v>
      </c>
      <c r="E17" s="95"/>
      <c r="F17" s="95">
        <v>4000</v>
      </c>
    </row>
    <row r="18" spans="2:6" s="8" customFormat="1" outlineLevel="1">
      <c r="B18" s="9" t="str">
        <f>3992&amp;" - "&amp;"Overføring Hovedstyret"</f>
        <v>3992 - Overføring Hovedstyret</v>
      </c>
      <c r="C18" s="91"/>
      <c r="D18" s="104"/>
      <c r="E18" s="91"/>
      <c r="F18" s="104"/>
    </row>
    <row r="19" spans="2:6" s="6" customFormat="1">
      <c r="B19" s="33" t="s">
        <v>11</v>
      </c>
      <c r="C19" s="97">
        <f>C10+C14+C6</f>
        <v>164831.79999999999</v>
      </c>
      <c r="D19" s="107">
        <f>D14+D10+D6</f>
        <v>208000</v>
      </c>
      <c r="E19" s="97">
        <f>E10+E14+E6</f>
        <v>156996</v>
      </c>
      <c r="F19" s="97">
        <f>F10+F14+F6</f>
        <v>189000</v>
      </c>
    </row>
    <row r="20" spans="2:6">
      <c r="B20" s="36"/>
      <c r="C20" s="91"/>
      <c r="D20" s="108"/>
      <c r="E20" s="91"/>
      <c r="F20" s="108"/>
    </row>
    <row r="21" spans="2:6" s="6" customFormat="1">
      <c r="B21" s="10" t="s">
        <v>12</v>
      </c>
      <c r="C21" s="96">
        <f>C22</f>
        <v>0</v>
      </c>
      <c r="D21" s="96">
        <f>D22</f>
        <v>5000</v>
      </c>
      <c r="E21" s="96">
        <f>E22</f>
        <v>0</v>
      </c>
      <c r="F21" s="96">
        <f>F22</f>
        <v>30000</v>
      </c>
    </row>
    <row r="22" spans="2:6" s="8" customFormat="1" outlineLevel="1">
      <c r="B22" s="9" t="str">
        <f>4300&amp;" - "&amp;"Innkjøp varer for videresalg"</f>
        <v>4300 - Innkjøp varer for videresalg</v>
      </c>
      <c r="C22" s="94">
        <v>0</v>
      </c>
      <c r="D22" s="95">
        <v>5000</v>
      </c>
      <c r="E22" s="94">
        <v>0</v>
      </c>
      <c r="F22" s="95">
        <v>30000</v>
      </c>
    </row>
    <row r="23" spans="2:6" s="6" customFormat="1">
      <c r="B23" s="10" t="s">
        <v>15</v>
      </c>
      <c r="C23" s="96">
        <f>SUM(C24:C37)</f>
        <v>88358.87</v>
      </c>
      <c r="D23" s="96">
        <f>SUM(D24:D37)</f>
        <v>303500</v>
      </c>
      <c r="E23" s="96">
        <f>SUM(E24:E37)</f>
        <v>175119</v>
      </c>
      <c r="F23" s="96">
        <f>SUM(F24:F37)</f>
        <v>214500</v>
      </c>
    </row>
    <row r="24" spans="2:6" s="6" customFormat="1">
      <c r="B24" s="9" t="str">
        <f>6300&amp;" - "&amp;"Leie lokaler"</f>
        <v>6300 - Leie lokaler</v>
      </c>
      <c r="C24" s="94">
        <v>1500</v>
      </c>
      <c r="D24" s="91">
        <v>1500</v>
      </c>
      <c r="E24" s="94"/>
      <c r="F24" s="91">
        <v>1500</v>
      </c>
    </row>
    <row r="25" spans="2:6" s="6" customFormat="1">
      <c r="B25" s="9" t="str">
        <f>6400&amp;" - "&amp;"Leie maskiner, inventar, datasystemer m.m."</f>
        <v>6400 - Leie maskiner, inventar, datasystemer m.m.</v>
      </c>
      <c r="C25" s="94">
        <v>1937.5</v>
      </c>
      <c r="D25" s="93"/>
      <c r="E25" s="94"/>
      <c r="F25" s="93"/>
    </row>
    <row r="26" spans="2:6" s="8" customFormat="1" outlineLevel="1">
      <c r="B26" s="9" t="str">
        <f>6580&amp;" - "&amp;"Idrettsutstyr"</f>
        <v>6580 - Idrettsutstyr</v>
      </c>
      <c r="C26" s="94">
        <v>6281</v>
      </c>
      <c r="D26" s="95">
        <v>200000</v>
      </c>
      <c r="E26" s="94">
        <v>17348</v>
      </c>
      <c r="F26" s="95">
        <v>115000</v>
      </c>
    </row>
    <row r="27" spans="2:6" s="8" customFormat="1" outlineLevel="1">
      <c r="B27" s="9" t="str">
        <f>6590&amp;" - "&amp;"Annet driftsmateriale"</f>
        <v>6590 - Annet driftsmateriale</v>
      </c>
      <c r="C27" s="94">
        <v>3360</v>
      </c>
      <c r="D27" s="95">
        <v>4000</v>
      </c>
      <c r="E27" s="94">
        <v>3360</v>
      </c>
      <c r="F27" s="95">
        <v>4000</v>
      </c>
    </row>
    <row r="28" spans="2:6" s="8" customFormat="1" outlineLevel="1">
      <c r="B28" s="9" t="str">
        <f>6700&amp;" - "&amp;"Revisjonshonorar"</f>
        <v>6700 - Revisjonshonorar</v>
      </c>
      <c r="C28" s="94">
        <v>5562.5</v>
      </c>
      <c r="D28" s="95"/>
      <c r="E28" s="94"/>
      <c r="F28" s="95"/>
    </row>
    <row r="29" spans="2:6" s="8" customFormat="1" outlineLevel="1">
      <c r="B29" s="9" t="s">
        <v>65</v>
      </c>
      <c r="C29" s="94"/>
      <c r="D29" s="95"/>
      <c r="E29" s="94">
        <v>95688</v>
      </c>
      <c r="F29" s="95"/>
    </row>
    <row r="30" spans="2:6" s="8" customFormat="1" outlineLevel="1">
      <c r="B30" s="9" t="str">
        <f>6800&amp;" - "&amp;"Kontorrekvisita"</f>
        <v>6800 - Kontorrekvisita</v>
      </c>
      <c r="C30" s="94">
        <v>8040</v>
      </c>
      <c r="D30" s="95">
        <v>8000</v>
      </c>
      <c r="E30" s="94">
        <v>6748</v>
      </c>
      <c r="F30" s="95">
        <v>8000</v>
      </c>
    </row>
    <row r="31" spans="2:6" s="8" customFormat="1" outlineLevel="1">
      <c r="B31" s="9" t="str">
        <f>6860&amp;" - "&amp;"Møter, kurs, oppdatering o.l"</f>
        <v>6860 - Møter, kurs, oppdatering o.l</v>
      </c>
      <c r="C31" s="95">
        <v>0</v>
      </c>
      <c r="D31" s="95">
        <v>1000</v>
      </c>
      <c r="E31" s="95">
        <v>1600</v>
      </c>
      <c r="F31" s="95">
        <v>2000</v>
      </c>
    </row>
    <row r="32" spans="2:6" s="8" customFormat="1" outlineLevel="1">
      <c r="B32" s="9" t="s">
        <v>66</v>
      </c>
      <c r="C32" s="95"/>
      <c r="D32" s="95"/>
      <c r="E32" s="95">
        <v>350</v>
      </c>
      <c r="F32" s="95"/>
    </row>
    <row r="33" spans="2:6" s="8" customFormat="1" outlineLevel="1">
      <c r="B33" s="9" t="str">
        <f>7400&amp;" - "&amp;"Medlemskontingenter"</f>
        <v>7400 - Medlemskontingenter</v>
      </c>
      <c r="C33" s="94">
        <v>8500</v>
      </c>
      <c r="D33" s="95">
        <v>9000</v>
      </c>
      <c r="E33" s="94">
        <v>0</v>
      </c>
      <c r="F33" s="95">
        <v>9000</v>
      </c>
    </row>
    <row r="34" spans="2:6" s="8" customFormat="1" outlineLevel="1">
      <c r="B34" s="9" t="str">
        <f>7410&amp;" - "&amp;"Påmelding serier, turneringer etc"</f>
        <v>7410 - Påmelding serier, turneringer etc</v>
      </c>
      <c r="C34" s="94">
        <v>29064</v>
      </c>
      <c r="D34" s="95">
        <v>50000</v>
      </c>
      <c r="E34" s="94">
        <v>28221</v>
      </c>
      <c r="F34" s="95">
        <v>50000</v>
      </c>
    </row>
    <row r="35" spans="2:6" s="8" customFormat="1" outlineLevel="1">
      <c r="B35" s="9" t="str">
        <f>7420&amp;" - "&amp;"Gaver og premier"</f>
        <v>7420 - Gaver og premier</v>
      </c>
      <c r="C35" s="94">
        <v>7712.5</v>
      </c>
      <c r="D35" s="95">
        <v>15000</v>
      </c>
      <c r="E35" s="94">
        <v>9750</v>
      </c>
      <c r="F35" s="95">
        <v>10000</v>
      </c>
    </row>
    <row r="36" spans="2:6" s="8" customFormat="1" outlineLevel="1">
      <c r="B36" s="9" t="str">
        <f>7430&amp;" - "&amp;"Tilstelninger"</f>
        <v>7430 - Tilstelninger</v>
      </c>
      <c r="C36" s="94">
        <v>16401.37</v>
      </c>
      <c r="D36" s="95">
        <v>15000</v>
      </c>
      <c r="E36" s="94">
        <v>11464</v>
      </c>
      <c r="F36" s="95">
        <v>15000</v>
      </c>
    </row>
    <row r="37" spans="2:6" s="8" customFormat="1" outlineLevel="1">
      <c r="B37" s="9" t="s">
        <v>67</v>
      </c>
      <c r="C37" s="91"/>
      <c r="D37" s="95"/>
      <c r="E37" s="91">
        <v>590</v>
      </c>
      <c r="F37" s="95"/>
    </row>
    <row r="38" spans="2:6" s="6" customFormat="1">
      <c r="B38" s="33" t="s">
        <v>16</v>
      </c>
      <c r="C38" s="97">
        <f>C23+C21</f>
        <v>88358.87</v>
      </c>
      <c r="D38" s="97">
        <f>D23+D21</f>
        <v>308500</v>
      </c>
      <c r="E38" s="97">
        <f>E23+E21</f>
        <v>175119</v>
      </c>
      <c r="F38" s="97">
        <f>F23+F21</f>
        <v>244500</v>
      </c>
    </row>
    <row r="39" spans="2:6">
      <c r="B39" s="36"/>
      <c r="C39" s="91"/>
      <c r="D39" s="109"/>
      <c r="E39" s="91"/>
      <c r="F39" s="109"/>
    </row>
    <row r="40" spans="2:6" s="6" customFormat="1" ht="15" thickBot="1">
      <c r="B40" s="48" t="s">
        <v>17</v>
      </c>
      <c r="C40" s="98">
        <f>C19-C38</f>
        <v>76472.929999999993</v>
      </c>
      <c r="D40" s="98">
        <f>D19-D38</f>
        <v>-100500</v>
      </c>
      <c r="E40" s="98">
        <f>E19-E38</f>
        <v>-18123</v>
      </c>
      <c r="F40" s="98">
        <f>F19-F38</f>
        <v>-55500</v>
      </c>
    </row>
    <row r="41" spans="2:6" s="6" customFormat="1" ht="15" thickTop="1">
      <c r="B41" s="10"/>
      <c r="C41" s="93"/>
      <c r="D41" s="106"/>
      <c r="E41" s="93"/>
      <c r="F41" s="106"/>
    </row>
    <row r="42" spans="2:6" s="6" customFormat="1">
      <c r="B42" s="10" t="s">
        <v>18</v>
      </c>
      <c r="C42" s="96">
        <f>C43</f>
        <v>483</v>
      </c>
      <c r="D42" s="96">
        <f>D43</f>
        <v>500</v>
      </c>
      <c r="E42" s="96">
        <f>E43</f>
        <v>1193</v>
      </c>
      <c r="F42" s="96">
        <f>F43</f>
        <v>1000</v>
      </c>
    </row>
    <row r="43" spans="2:6" s="8" customFormat="1" outlineLevel="1">
      <c r="B43" s="9" t="str">
        <f>8050&amp;" - "&amp;"Renteinntekt bankinnskudd"</f>
        <v>8050 - Renteinntekt bankinnskudd</v>
      </c>
      <c r="C43" s="92">
        <f>-483*-1</f>
        <v>483</v>
      </c>
      <c r="D43" s="95">
        <v>500</v>
      </c>
      <c r="E43" s="92">
        <v>1193</v>
      </c>
      <c r="F43" s="95">
        <v>1000</v>
      </c>
    </row>
    <row r="44" spans="2:6" s="6" customFormat="1">
      <c r="B44" s="10" t="s">
        <v>20</v>
      </c>
      <c r="C44" s="93">
        <v>0</v>
      </c>
      <c r="D44" s="106"/>
      <c r="E44" s="93">
        <v>0</v>
      </c>
      <c r="F44" s="106"/>
    </row>
    <row r="45" spans="2:6" s="6" customFormat="1">
      <c r="B45" s="33" t="s">
        <v>21</v>
      </c>
      <c r="C45" s="97">
        <f>C40+C42-C44</f>
        <v>76955.929999999993</v>
      </c>
      <c r="D45" s="107">
        <f>D40+D42</f>
        <v>-100000</v>
      </c>
      <c r="E45" s="97">
        <f>E40+E42-E44</f>
        <v>-16930</v>
      </c>
      <c r="F45" s="97">
        <f>F40+F42</f>
        <v>-54500</v>
      </c>
    </row>
    <row r="46" spans="2:6">
      <c r="B46" s="38"/>
    </row>
    <row r="47" spans="2:6" hidden="1">
      <c r="B47" s="37" t="s">
        <v>30</v>
      </c>
      <c r="C47" s="11"/>
    </row>
    <row r="48" spans="2:6" hidden="1">
      <c r="B48" s="39" t="s">
        <v>31</v>
      </c>
      <c r="C48" s="31" t="str">
        <f>IF(ISERROR(C45/(#REF!+#REF!)/2),"",(C45/(#REF!+#REF!)/2))</f>
        <v/>
      </c>
    </row>
    <row r="50" spans="2:3">
      <c r="B50" s="101" t="s">
        <v>68</v>
      </c>
      <c r="C50" s="102">
        <v>303510</v>
      </c>
    </row>
  </sheetData>
  <mergeCells count="1">
    <mergeCell ref="B4:B5"/>
  </mergeCells>
  <pageMargins left="0.23622047244094491" right="0.23622047244094491" top="0.35433070866141736" bottom="0.35433070866141736" header="0.11811023622047245" footer="0.11811023622047245"/>
  <pageSetup paperSize="9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1"/>
  <sheetViews>
    <sheetView showGridLines="0" topLeftCell="B1" workbookViewId="0"/>
  </sheetViews>
  <sheetFormatPr baseColWidth="10" defaultColWidth="11.453125" defaultRowHeight="14.5" outlineLevelRow="1"/>
  <cols>
    <col min="1" max="1" width="1.54296875" hidden="1" customWidth="1"/>
    <col min="2" max="2" width="38.36328125" customWidth="1"/>
    <col min="3" max="3" width="14.90625" customWidth="1"/>
    <col min="4" max="4" width="17.90625" hidden="1" customWidth="1"/>
    <col min="5" max="5" width="18.08984375" style="43" customWidth="1"/>
    <col min="6" max="6" width="27" style="43" customWidth="1"/>
  </cols>
  <sheetData>
    <row r="1" spans="2:6" ht="21">
      <c r="B1" s="57" t="e">
        <f ca="1">_xll.OneStop.ReportPlayer.OSRFunctions.OSRGet("ThisCompany","Nm")</f>
        <v>#NAME?</v>
      </c>
    </row>
    <row r="2" spans="2:6" ht="21">
      <c r="B2" s="49" t="s">
        <v>54</v>
      </c>
      <c r="E2" s="73" t="e">
        <f ca="1">_xll.OneStop.ReportPlayer.OSRFunctions.OSRGet("Period","EndDate")</f>
        <v>#NAME?</v>
      </c>
    </row>
    <row r="3" spans="2:6">
      <c r="B3" s="53"/>
    </row>
    <row r="4" spans="2:6" ht="15.75" customHeight="1">
      <c r="B4" s="112" t="s">
        <v>0</v>
      </c>
      <c r="C4" s="27" t="e">
        <f ca="1">_xll.OneStop.ReportPlayer.OSRFunctions.OSRGet("R1","Nm")</f>
        <v>#NAME?</v>
      </c>
      <c r="D4" s="27"/>
      <c r="E4" s="27" t="s">
        <v>55</v>
      </c>
    </row>
    <row r="5" spans="2:6" ht="15.5">
      <c r="B5" s="122" t="s">
        <v>0</v>
      </c>
      <c r="C5" s="13" t="s">
        <v>4</v>
      </c>
      <c r="D5" s="13"/>
      <c r="E5" s="13" t="s">
        <v>25</v>
      </c>
    </row>
    <row r="6" spans="2:6" s="6" customFormat="1">
      <c r="B6" s="80" t="s">
        <v>7</v>
      </c>
      <c r="C6" s="28" t="e">
        <f ca="1">SUM(_xll.OneStop.ReportPlayer.OSRFunctions.OSRRef(C7))</f>
        <v>#NAME?</v>
      </c>
      <c r="D6" s="28"/>
      <c r="E6" s="28" t="e">
        <f t="shared" ref="E6:E32" ca="1" si="0">SUM(C6:D6)</f>
        <v>#NAME?</v>
      </c>
      <c r="F6" s="1"/>
    </row>
    <row r="7" spans="2:6" s="8" customFormat="1" hidden="1" outlineLevel="1">
      <c r="B7" s="9" t="e">
        <f ca="1">_xll.OneStop.ReportPlayer.OSRFunctions.OSRGet("Account","AcNo")&amp;" - "&amp;_xll.OneStop.ReportPlayer.OSRFunctions.OSRGet("Account","Nm")</f>
        <v>#NAME?</v>
      </c>
      <c r="C7" s="4" t="e">
        <f ca="1">_xll.OneStop.ReportPlayer.OSRFunctions.OSRGet("ActualTransaction","AcAm")*-1</f>
        <v>#NAME?</v>
      </c>
      <c r="D7" s="4"/>
      <c r="E7" s="4" t="e">
        <f t="shared" ca="1" si="0"/>
        <v>#NAME?</v>
      </c>
      <c r="F7" s="2"/>
    </row>
    <row r="8" spans="2:6" s="6" customFormat="1" collapsed="1">
      <c r="B8" s="10" t="s">
        <v>8</v>
      </c>
      <c r="C8" s="3" t="e">
        <f ca="1">SUM(_xll.OneStop.ReportPlayer.OSRFunctions.OSRRef(C9))</f>
        <v>#NAME?</v>
      </c>
      <c r="D8" s="3"/>
      <c r="E8" s="3" t="e">
        <f t="shared" ca="1" si="0"/>
        <v>#NAME?</v>
      </c>
      <c r="F8" s="1"/>
    </row>
    <row r="9" spans="2:6" s="8" customFormat="1" hidden="1" outlineLevel="1">
      <c r="B9" s="9" t="e">
        <f ca="1">_xll.OneStop.ReportPlayer.OSRFunctions.OSRGet("Account","AcNo")&amp;" - "&amp;_xll.OneStop.ReportPlayer.OSRFunctions.OSRGet("Account","Nm")</f>
        <v>#NAME?</v>
      </c>
      <c r="C9" s="4" t="e">
        <f ca="1">_xll.OneStop.ReportPlayer.OSRFunctions.OSRGet("ActualTransaction","AcAm")*-1</f>
        <v>#NAME?</v>
      </c>
      <c r="D9" s="4"/>
      <c r="E9" s="4" t="e">
        <f t="shared" ca="1" si="0"/>
        <v>#NAME?</v>
      </c>
      <c r="F9" s="2"/>
    </row>
    <row r="10" spans="2:6" s="6" customFormat="1" collapsed="1">
      <c r="B10" s="10" t="s">
        <v>9</v>
      </c>
      <c r="C10" s="3" t="e">
        <f ca="1">SUM(_xll.OneStop.ReportPlayer.OSRFunctions.OSRRef(C11))</f>
        <v>#NAME?</v>
      </c>
      <c r="D10" s="3"/>
      <c r="E10" s="3" t="e">
        <f t="shared" ca="1" si="0"/>
        <v>#NAME?</v>
      </c>
      <c r="F10" s="1"/>
    </row>
    <row r="11" spans="2:6" s="8" customFormat="1" hidden="1" outlineLevel="1">
      <c r="B11" s="9" t="e">
        <f ca="1">_xll.OneStop.ReportPlayer.OSRFunctions.OSRGet("Account","AcNo")&amp;" - "&amp;_xll.OneStop.ReportPlayer.OSRFunctions.OSRGet("Account","Nm")</f>
        <v>#NAME?</v>
      </c>
      <c r="C11" s="4" t="e">
        <f ca="1">_xll.OneStop.ReportPlayer.OSRFunctions.OSRGet("ActualTransaction","AcAm")*-1</f>
        <v>#NAME?</v>
      </c>
      <c r="D11" s="4"/>
      <c r="E11" s="4" t="e">
        <f t="shared" ca="1" si="0"/>
        <v>#NAME?</v>
      </c>
      <c r="F11" s="2"/>
    </row>
    <row r="12" spans="2:6" s="6" customFormat="1" collapsed="1">
      <c r="B12" s="10" t="s">
        <v>10</v>
      </c>
      <c r="C12" s="3" t="e">
        <f ca="1">SUM(_xll.OneStop.ReportPlayer.OSRFunctions.OSRRef(C13))</f>
        <v>#NAME?</v>
      </c>
      <c r="D12" s="3"/>
      <c r="E12" s="3" t="e">
        <f t="shared" ca="1" si="0"/>
        <v>#NAME?</v>
      </c>
      <c r="F12" s="1"/>
    </row>
    <row r="13" spans="2:6" s="8" customFormat="1" hidden="1" outlineLevel="1">
      <c r="B13" s="9" t="e">
        <f ca="1">_xll.OneStop.ReportPlayer.OSRFunctions.OSRGet("Account","AcNo")&amp;" - "&amp;_xll.OneStop.ReportPlayer.OSRFunctions.OSRGet("Account","Nm")</f>
        <v>#NAME?</v>
      </c>
      <c r="C13" s="4" t="e">
        <f ca="1">_xll.OneStop.ReportPlayer.OSRFunctions.OSRGet("ActualTransaction","AcAm")*-1</f>
        <v>#NAME?</v>
      </c>
      <c r="D13" s="4"/>
      <c r="E13" s="4" t="e">
        <f t="shared" ca="1" si="0"/>
        <v>#NAME?</v>
      </c>
      <c r="F13" s="2"/>
    </row>
    <row r="14" spans="2:6" s="6" customFormat="1" collapsed="1">
      <c r="B14" s="33" t="s">
        <v>11</v>
      </c>
      <c r="C14" s="7" t="e">
        <f ca="1">C6+C8+C10+C12</f>
        <v>#NAME?</v>
      </c>
      <c r="D14" s="7"/>
      <c r="E14" s="7" t="e">
        <f t="shared" ca="1" si="0"/>
        <v>#NAME?</v>
      </c>
      <c r="F14" s="1"/>
    </row>
    <row r="15" spans="2:6">
      <c r="B15" s="36"/>
      <c r="C15" s="3"/>
      <c r="D15" s="3"/>
      <c r="E15" s="3">
        <f t="shared" si="0"/>
        <v>0</v>
      </c>
    </row>
    <row r="16" spans="2:6" s="6" customFormat="1">
      <c r="B16" s="10" t="s">
        <v>12</v>
      </c>
      <c r="C16" s="3" t="e">
        <f ca="1">SUM(_xll.OneStop.ReportPlayer.OSRFunctions.OSRRef(C17))</f>
        <v>#NAME?</v>
      </c>
      <c r="D16" s="3"/>
      <c r="E16" s="3" t="e">
        <f t="shared" ca="1" si="0"/>
        <v>#NAME?</v>
      </c>
      <c r="F16" s="1"/>
    </row>
    <row r="17" spans="2:6" s="8" customFormat="1" hidden="1" outlineLevel="1">
      <c r="B17" s="9" t="e">
        <f ca="1">_xll.OneStop.ReportPlayer.OSRFunctions.OSRGet("Account","AcNo")&amp;" - "&amp;_xll.OneStop.ReportPlayer.OSRFunctions.OSRGet("Account","Nm")</f>
        <v>#NAME?</v>
      </c>
      <c r="C17" s="4" t="e">
        <f ca="1">_xll.OneStop.ReportPlayer.OSRFunctions.OSRGet("ActualTransaction","AcAm")</f>
        <v>#NAME?</v>
      </c>
      <c r="D17" s="4"/>
      <c r="E17" s="4" t="e">
        <f t="shared" ca="1" si="0"/>
        <v>#NAME?</v>
      </c>
      <c r="F17" s="2"/>
    </row>
    <row r="18" spans="2:6" s="6" customFormat="1" collapsed="1">
      <c r="B18" s="10" t="s">
        <v>13</v>
      </c>
      <c r="C18" s="3" t="e">
        <f ca="1">SUM(_xll.OneStop.ReportPlayer.OSRFunctions.OSRRef(C19))</f>
        <v>#NAME?</v>
      </c>
      <c r="D18" s="3"/>
      <c r="E18" s="3" t="e">
        <f t="shared" ca="1" si="0"/>
        <v>#NAME?</v>
      </c>
      <c r="F18" s="1"/>
    </row>
    <row r="19" spans="2:6" s="8" customFormat="1" hidden="1" outlineLevel="1">
      <c r="B19" s="9" t="e">
        <f ca="1">_xll.OneStop.ReportPlayer.OSRFunctions.OSRGet("Account","AcNo")&amp;" - "&amp;_xll.OneStop.ReportPlayer.OSRFunctions.OSRGet("Account","Nm")</f>
        <v>#NAME?</v>
      </c>
      <c r="C19" s="4" t="e">
        <f ca="1">_xll.OneStop.ReportPlayer.OSRFunctions.OSRGet("ActualTransaction","AcAm")</f>
        <v>#NAME?</v>
      </c>
      <c r="D19" s="4"/>
      <c r="E19" s="4" t="e">
        <f t="shared" ca="1" si="0"/>
        <v>#NAME?</v>
      </c>
      <c r="F19" s="2"/>
    </row>
    <row r="20" spans="2:6" s="6" customFormat="1" collapsed="1">
      <c r="B20" s="10" t="s">
        <v>14</v>
      </c>
      <c r="C20" s="3" t="e">
        <f ca="1">SUM(_xll.OneStop.ReportPlayer.OSRFunctions.OSRRef(C21))</f>
        <v>#NAME?</v>
      </c>
      <c r="D20" s="3"/>
      <c r="E20" s="3" t="e">
        <f t="shared" ca="1" si="0"/>
        <v>#NAME?</v>
      </c>
      <c r="F20" s="1"/>
    </row>
    <row r="21" spans="2:6" s="8" customFormat="1" hidden="1" outlineLevel="1">
      <c r="B21" s="9" t="e">
        <f ca="1">_xll.OneStop.ReportPlayer.OSRFunctions.OSRGet("Account","AcNo")&amp;" - "&amp;_xll.OneStop.ReportPlayer.OSRFunctions.OSRGet("Account","Nm")</f>
        <v>#NAME?</v>
      </c>
      <c r="C21" s="4" t="e">
        <f ca="1">_xll.OneStop.ReportPlayer.OSRFunctions.OSRGet("ActualTransaction","AcAm")</f>
        <v>#NAME?</v>
      </c>
      <c r="D21" s="4"/>
      <c r="E21" s="4" t="e">
        <f t="shared" ca="1" si="0"/>
        <v>#NAME?</v>
      </c>
      <c r="F21" s="2"/>
    </row>
    <row r="22" spans="2:6" s="6" customFormat="1" collapsed="1">
      <c r="B22" s="10" t="s">
        <v>15</v>
      </c>
      <c r="C22" s="3" t="e">
        <f ca="1">SUM(_xll.OneStop.ReportPlayer.OSRFunctions.OSRRef(C23))</f>
        <v>#NAME?</v>
      </c>
      <c r="D22" s="3"/>
      <c r="E22" s="3" t="e">
        <f t="shared" ca="1" si="0"/>
        <v>#NAME?</v>
      </c>
      <c r="F22" s="1"/>
    </row>
    <row r="23" spans="2:6" s="8" customFormat="1" hidden="1" outlineLevel="1">
      <c r="B23" s="9" t="e">
        <f ca="1">_xll.OneStop.ReportPlayer.OSRFunctions.OSRGet("Account","AcNo")&amp;" - "&amp;_xll.OneStop.ReportPlayer.OSRFunctions.OSRGet("Account","Nm")</f>
        <v>#NAME?</v>
      </c>
      <c r="C23" s="4" t="e">
        <f ca="1">_xll.OneStop.ReportPlayer.OSRFunctions.OSRGet("ActualTransaction","AcAm")</f>
        <v>#NAME?</v>
      </c>
      <c r="D23" s="4"/>
      <c r="E23" s="4" t="e">
        <f t="shared" ca="1" si="0"/>
        <v>#NAME?</v>
      </c>
      <c r="F23" s="2"/>
    </row>
    <row r="24" spans="2:6" s="6" customFormat="1" collapsed="1">
      <c r="B24" s="33" t="s">
        <v>16</v>
      </c>
      <c r="C24" s="7" t="e">
        <f ca="1">C16+C18+C20+C22</f>
        <v>#NAME?</v>
      </c>
      <c r="D24" s="7"/>
      <c r="E24" s="7" t="e">
        <f t="shared" ca="1" si="0"/>
        <v>#NAME?</v>
      </c>
      <c r="F24" s="1"/>
    </row>
    <row r="25" spans="2:6">
      <c r="B25" s="36"/>
      <c r="C25" s="3"/>
      <c r="D25" s="3"/>
      <c r="E25" s="3">
        <f t="shared" si="0"/>
        <v>0</v>
      </c>
    </row>
    <row r="26" spans="2:6" s="6" customFormat="1" ht="15" thickBot="1">
      <c r="B26" s="48" t="s">
        <v>17</v>
      </c>
      <c r="C26" s="30" t="e">
        <f ca="1">C14-C24</f>
        <v>#NAME?</v>
      </c>
      <c r="D26" s="30"/>
      <c r="E26" s="30" t="e">
        <f t="shared" ca="1" si="0"/>
        <v>#NAME?</v>
      </c>
      <c r="F26" s="1"/>
    </row>
    <row r="27" spans="2:6" s="6" customFormat="1" ht="15" thickTop="1">
      <c r="B27" s="10"/>
      <c r="C27" s="3"/>
      <c r="D27" s="3"/>
      <c r="E27" s="3">
        <f t="shared" si="0"/>
        <v>0</v>
      </c>
      <c r="F27" s="1"/>
    </row>
    <row r="28" spans="2:6" s="6" customFormat="1">
      <c r="B28" s="10" t="s">
        <v>18</v>
      </c>
      <c r="C28" s="3" t="e">
        <f ca="1">SUM(_xll.OneStop.ReportPlayer.OSRFunctions.OSRRef(C29))</f>
        <v>#NAME?</v>
      </c>
      <c r="D28" s="3"/>
      <c r="E28" s="3" t="e">
        <f t="shared" ca="1" si="0"/>
        <v>#NAME?</v>
      </c>
      <c r="F28" s="1"/>
    </row>
    <row r="29" spans="2:6" s="8" customFormat="1" hidden="1" outlineLevel="1">
      <c r="B29" s="9" t="e">
        <f ca="1">_xll.OneStop.ReportPlayer.OSRFunctions.OSRGet("Account","AcNo")&amp;" - "&amp;_xll.OneStop.ReportPlayer.OSRFunctions.OSRGet("Account","Nm")</f>
        <v>#NAME?</v>
      </c>
      <c r="C29" s="4" t="e">
        <f ca="1">_xll.OneStop.ReportPlayer.OSRFunctions.OSRGet("ActualTransaction","AcAm")*-1</f>
        <v>#NAME?</v>
      </c>
      <c r="D29" s="4"/>
      <c r="E29" s="4" t="e">
        <f t="shared" ca="1" si="0"/>
        <v>#NAME?</v>
      </c>
      <c r="F29" s="2"/>
    </row>
    <row r="30" spans="2:6" s="6" customFormat="1" collapsed="1">
      <c r="B30" s="10" t="s">
        <v>20</v>
      </c>
      <c r="C30" s="3" t="e">
        <f ca="1">SUM(_xll.OneStop.ReportPlayer.OSRFunctions.OSRRef(C31))</f>
        <v>#NAME?</v>
      </c>
      <c r="D30" s="3"/>
      <c r="E30" s="3" t="e">
        <f t="shared" ca="1" si="0"/>
        <v>#NAME?</v>
      </c>
      <c r="F30" s="1"/>
    </row>
    <row r="31" spans="2:6" s="8" customFormat="1" hidden="1" outlineLevel="1">
      <c r="B31" s="9" t="e">
        <f ca="1">_xll.OneStop.ReportPlayer.OSRFunctions.OSRGet("Account","AcNo")&amp;" - "&amp;_xll.OneStop.ReportPlayer.OSRFunctions.OSRGet("Account","Nm")</f>
        <v>#NAME?</v>
      </c>
      <c r="C31" s="4" t="e">
        <f ca="1">_xll.OneStop.ReportPlayer.OSRFunctions.OSRGet("ActualTransaction","AcAm")</f>
        <v>#NAME?</v>
      </c>
      <c r="D31" s="4"/>
      <c r="E31" s="4" t="e">
        <f t="shared" ca="1" si="0"/>
        <v>#NAME?</v>
      </c>
      <c r="F31" s="2"/>
    </row>
    <row r="32" spans="2:6" s="6" customFormat="1" collapsed="1">
      <c r="B32" s="33" t="s">
        <v>21</v>
      </c>
      <c r="C32" s="7" t="e">
        <f ca="1">C26+C28-C30</f>
        <v>#NAME?</v>
      </c>
      <c r="D32" s="7"/>
      <c r="E32" s="7" t="e">
        <f t="shared" ca="1" si="0"/>
        <v>#NAME?</v>
      </c>
      <c r="F32" s="1"/>
    </row>
    <row r="33" spans="2:6">
      <c r="B33" s="38"/>
    </row>
    <row r="34" spans="2:6" ht="15.5">
      <c r="B34" s="38"/>
      <c r="C34" s="29"/>
      <c r="D34" s="29"/>
    </row>
    <row r="35" spans="2:6" ht="15" customHeight="1">
      <c r="B35" s="56" t="s">
        <v>23</v>
      </c>
      <c r="C35" s="13" t="s">
        <v>25</v>
      </c>
      <c r="D35" s="64"/>
    </row>
    <row r="36" spans="2:6">
      <c r="B36" s="37" t="s">
        <v>26</v>
      </c>
      <c r="C36" s="11" t="str">
        <f ca="1">IF(ISERROR((C6-C16)/C6),"",((C6-C16)/C6))</f>
        <v/>
      </c>
      <c r="D36" s="72"/>
    </row>
    <row r="37" spans="2:6">
      <c r="B37" s="37" t="s">
        <v>27</v>
      </c>
      <c r="C37" s="11" t="str">
        <f ca="1">IF(ISERROR(C18/C6),"",(C18/C6))</f>
        <v/>
      </c>
      <c r="D37" s="72"/>
      <c r="F37" s="5"/>
    </row>
    <row r="38" spans="2:6">
      <c r="B38" s="37" t="s">
        <v>28</v>
      </c>
      <c r="C38" s="11" t="str">
        <f ca="1">IF(ISERROR(C24/C6),"",(C24/C6))</f>
        <v/>
      </c>
      <c r="D38" s="72"/>
    </row>
    <row r="39" spans="2:6">
      <c r="B39" s="39" t="s">
        <v>29</v>
      </c>
      <c r="C39" s="26" t="str">
        <f ca="1">IF(ISERROR(C32/C14),"",(C32/C14))</f>
        <v/>
      </c>
      <c r="D39" s="72"/>
    </row>
    <row r="40" spans="2:6" hidden="1">
      <c r="B40" s="37" t="s">
        <v>30</v>
      </c>
      <c r="C40" s="11"/>
      <c r="D40" s="72"/>
    </row>
    <row r="41" spans="2:6" hidden="1">
      <c r="B41" s="39" t="s">
        <v>31</v>
      </c>
      <c r="C41" s="31" t="str">
        <f ca="1">IF(ISERROR(C32/(#REF!+#REF!)/2),"",(C32/(#REF!+#REF!)/2))</f>
        <v/>
      </c>
      <c r="D41" s="85"/>
    </row>
  </sheetData>
  <mergeCells count="1">
    <mergeCell ref="B4:B5"/>
  </mergeCells>
  <pageMargins left="0.25" right="0.25" top="0.75" bottom="0.75" header="0.3" footer="0.3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1"/>
  <sheetViews>
    <sheetView showGridLines="0" topLeftCell="B1" workbookViewId="0"/>
  </sheetViews>
  <sheetFormatPr baseColWidth="10" defaultColWidth="11.453125" defaultRowHeight="14.5" outlineLevelRow="1"/>
  <cols>
    <col min="1" max="1" width="1.54296875" hidden="1" customWidth="1"/>
    <col min="2" max="2" width="38.36328125" customWidth="1"/>
    <col min="3" max="3" width="14.90625" customWidth="1"/>
    <col min="4" max="4" width="17.90625" hidden="1" customWidth="1"/>
    <col min="5" max="5" width="18.08984375" style="43" customWidth="1"/>
    <col min="6" max="6" width="27" style="43" customWidth="1"/>
  </cols>
  <sheetData>
    <row r="1" spans="2:6" ht="21">
      <c r="B1" s="57" t="e">
        <f ca="1">_xll.OneStop.ReportPlayer.OSRFunctions.OSRGet("ThisCompany","Nm")</f>
        <v>#NAME?</v>
      </c>
    </row>
    <row r="2" spans="2:6" ht="21">
      <c r="B2" s="49" t="s">
        <v>54</v>
      </c>
      <c r="E2" s="73" t="e">
        <f ca="1">_xll.OneStop.ReportPlayer.OSRFunctions.OSRGet("Period","EndDate")</f>
        <v>#NAME?</v>
      </c>
    </row>
    <row r="3" spans="2:6">
      <c r="B3" s="53"/>
    </row>
    <row r="4" spans="2:6" ht="15.75" customHeight="1">
      <c r="B4" s="112" t="s">
        <v>0</v>
      </c>
      <c r="C4" s="27" t="e">
        <f ca="1">_xll.OneStop.ReportPlayer.OSRFunctions.OSRGet("R1","Nm")</f>
        <v>#NAME?</v>
      </c>
      <c r="D4" s="27"/>
      <c r="E4" s="27" t="s">
        <v>55</v>
      </c>
    </row>
    <row r="5" spans="2:6" ht="15.5">
      <c r="B5" s="122" t="s">
        <v>0</v>
      </c>
      <c r="C5" s="13" t="s">
        <v>4</v>
      </c>
      <c r="D5" s="13"/>
      <c r="E5" s="13" t="s">
        <v>25</v>
      </c>
    </row>
    <row r="6" spans="2:6" s="6" customFormat="1">
      <c r="B6" s="80" t="s">
        <v>7</v>
      </c>
      <c r="C6" s="28" t="e">
        <f ca="1">SUM(_xll.OneStop.ReportPlayer.OSRFunctions.OSRRef(C7))</f>
        <v>#NAME?</v>
      </c>
      <c r="D6" s="28"/>
      <c r="E6" s="28" t="e">
        <f t="shared" ref="E6:E32" ca="1" si="0">SUM(C6:D6)</f>
        <v>#NAME?</v>
      </c>
      <c r="F6" s="1"/>
    </row>
    <row r="7" spans="2:6" s="8" customFormat="1" hidden="1" outlineLevel="1">
      <c r="B7" s="9" t="e">
        <f ca="1">_xll.OneStop.ReportPlayer.OSRFunctions.OSRGet("Account","AcNo")&amp;" - "&amp;_xll.OneStop.ReportPlayer.OSRFunctions.OSRGet("Account","Nm")</f>
        <v>#NAME?</v>
      </c>
      <c r="C7" s="4" t="e">
        <f ca="1">_xll.OneStop.ReportPlayer.OSRFunctions.OSRGet("ActualTransaction","AcAm")*-1</f>
        <v>#NAME?</v>
      </c>
      <c r="D7" s="4"/>
      <c r="E7" s="4" t="e">
        <f t="shared" ca="1" si="0"/>
        <v>#NAME?</v>
      </c>
      <c r="F7" s="2"/>
    </row>
    <row r="8" spans="2:6" s="6" customFormat="1" collapsed="1">
      <c r="B8" s="10" t="s">
        <v>8</v>
      </c>
      <c r="C8" s="3" t="e">
        <f ca="1">SUM(_xll.OneStop.ReportPlayer.OSRFunctions.OSRRef(C9))</f>
        <v>#NAME?</v>
      </c>
      <c r="D8" s="3"/>
      <c r="E8" s="3" t="e">
        <f t="shared" ca="1" si="0"/>
        <v>#NAME?</v>
      </c>
      <c r="F8" s="1"/>
    </row>
    <row r="9" spans="2:6" s="8" customFormat="1" hidden="1" outlineLevel="1">
      <c r="B9" s="9" t="e">
        <f ca="1">_xll.OneStop.ReportPlayer.OSRFunctions.OSRGet("Account","AcNo")&amp;" - "&amp;_xll.OneStop.ReportPlayer.OSRFunctions.OSRGet("Account","Nm")</f>
        <v>#NAME?</v>
      </c>
      <c r="C9" s="4" t="e">
        <f ca="1">_xll.OneStop.ReportPlayer.OSRFunctions.OSRGet("ActualTransaction","AcAm")*-1</f>
        <v>#NAME?</v>
      </c>
      <c r="D9" s="4"/>
      <c r="E9" s="4" t="e">
        <f t="shared" ca="1" si="0"/>
        <v>#NAME?</v>
      </c>
      <c r="F9" s="2"/>
    </row>
    <row r="10" spans="2:6" s="6" customFormat="1" collapsed="1">
      <c r="B10" s="10" t="s">
        <v>9</v>
      </c>
      <c r="C10" s="3" t="e">
        <f ca="1">SUM(_xll.OneStop.ReportPlayer.OSRFunctions.OSRRef(C11))</f>
        <v>#NAME?</v>
      </c>
      <c r="D10" s="3"/>
      <c r="E10" s="3" t="e">
        <f t="shared" ca="1" si="0"/>
        <v>#NAME?</v>
      </c>
      <c r="F10" s="1"/>
    </row>
    <row r="11" spans="2:6" s="8" customFormat="1" hidden="1" outlineLevel="1">
      <c r="B11" s="9" t="e">
        <f ca="1">_xll.OneStop.ReportPlayer.OSRFunctions.OSRGet("Account","AcNo")&amp;" - "&amp;_xll.OneStop.ReportPlayer.OSRFunctions.OSRGet("Account","Nm")</f>
        <v>#NAME?</v>
      </c>
      <c r="C11" s="4" t="e">
        <f ca="1">_xll.OneStop.ReportPlayer.OSRFunctions.OSRGet("ActualTransaction","AcAm")*-1</f>
        <v>#NAME?</v>
      </c>
      <c r="D11" s="4"/>
      <c r="E11" s="4" t="e">
        <f t="shared" ca="1" si="0"/>
        <v>#NAME?</v>
      </c>
      <c r="F11" s="2"/>
    </row>
    <row r="12" spans="2:6" s="6" customFormat="1" collapsed="1">
      <c r="B12" s="10" t="s">
        <v>10</v>
      </c>
      <c r="C12" s="3" t="e">
        <f ca="1">SUM(_xll.OneStop.ReportPlayer.OSRFunctions.OSRRef(C13))</f>
        <v>#NAME?</v>
      </c>
      <c r="D12" s="3"/>
      <c r="E12" s="3" t="e">
        <f t="shared" ca="1" si="0"/>
        <v>#NAME?</v>
      </c>
      <c r="F12" s="1"/>
    </row>
    <row r="13" spans="2:6" s="8" customFormat="1" hidden="1" outlineLevel="1">
      <c r="B13" s="9" t="e">
        <f ca="1">_xll.OneStop.ReportPlayer.OSRFunctions.OSRGet("Account","AcNo")&amp;" - "&amp;_xll.OneStop.ReportPlayer.OSRFunctions.OSRGet("Account","Nm")</f>
        <v>#NAME?</v>
      </c>
      <c r="C13" s="4" t="e">
        <f ca="1">_xll.OneStop.ReportPlayer.OSRFunctions.OSRGet("ActualTransaction","AcAm")*-1</f>
        <v>#NAME?</v>
      </c>
      <c r="D13" s="4"/>
      <c r="E13" s="4" t="e">
        <f t="shared" ca="1" si="0"/>
        <v>#NAME?</v>
      </c>
      <c r="F13" s="2"/>
    </row>
    <row r="14" spans="2:6" s="6" customFormat="1" collapsed="1">
      <c r="B14" s="33" t="s">
        <v>11</v>
      </c>
      <c r="C14" s="7" t="e">
        <f ca="1">C6+C8+C10+C12</f>
        <v>#NAME?</v>
      </c>
      <c r="D14" s="7"/>
      <c r="E14" s="7" t="e">
        <f t="shared" ca="1" si="0"/>
        <v>#NAME?</v>
      </c>
      <c r="F14" s="1"/>
    </row>
    <row r="15" spans="2:6">
      <c r="B15" s="36"/>
      <c r="C15" s="3"/>
      <c r="D15" s="3"/>
      <c r="E15" s="3">
        <f t="shared" si="0"/>
        <v>0</v>
      </c>
    </row>
    <row r="16" spans="2:6" s="6" customFormat="1">
      <c r="B16" s="10" t="s">
        <v>12</v>
      </c>
      <c r="C16" s="3" t="e">
        <f ca="1">SUM(_xll.OneStop.ReportPlayer.OSRFunctions.OSRRef(C17))</f>
        <v>#NAME?</v>
      </c>
      <c r="D16" s="3"/>
      <c r="E16" s="3" t="e">
        <f t="shared" ca="1" si="0"/>
        <v>#NAME?</v>
      </c>
      <c r="F16" s="1"/>
    </row>
    <row r="17" spans="2:6" s="8" customFormat="1" hidden="1" outlineLevel="1">
      <c r="B17" s="9" t="e">
        <f ca="1">_xll.OneStop.ReportPlayer.OSRFunctions.OSRGet("Account","AcNo")&amp;" - "&amp;_xll.OneStop.ReportPlayer.OSRFunctions.OSRGet("Account","Nm")</f>
        <v>#NAME?</v>
      </c>
      <c r="C17" s="4" t="e">
        <f ca="1">_xll.OneStop.ReportPlayer.OSRFunctions.OSRGet("ActualTransaction","AcAm")</f>
        <v>#NAME?</v>
      </c>
      <c r="D17" s="4"/>
      <c r="E17" s="4" t="e">
        <f t="shared" ca="1" si="0"/>
        <v>#NAME?</v>
      </c>
      <c r="F17" s="2"/>
    </row>
    <row r="18" spans="2:6" s="6" customFormat="1" collapsed="1">
      <c r="B18" s="10" t="s">
        <v>13</v>
      </c>
      <c r="C18" s="3" t="e">
        <f ca="1">SUM(_xll.OneStop.ReportPlayer.OSRFunctions.OSRRef(C19))</f>
        <v>#NAME?</v>
      </c>
      <c r="D18" s="3"/>
      <c r="E18" s="3" t="e">
        <f t="shared" ca="1" si="0"/>
        <v>#NAME?</v>
      </c>
      <c r="F18" s="1"/>
    </row>
    <row r="19" spans="2:6" s="8" customFormat="1" hidden="1" outlineLevel="1">
      <c r="B19" s="9" t="e">
        <f ca="1">_xll.OneStop.ReportPlayer.OSRFunctions.OSRGet("Account","AcNo")&amp;" - "&amp;_xll.OneStop.ReportPlayer.OSRFunctions.OSRGet("Account","Nm")</f>
        <v>#NAME?</v>
      </c>
      <c r="C19" s="4" t="e">
        <f ca="1">_xll.OneStop.ReportPlayer.OSRFunctions.OSRGet("ActualTransaction","AcAm")</f>
        <v>#NAME?</v>
      </c>
      <c r="D19" s="4"/>
      <c r="E19" s="4" t="e">
        <f t="shared" ca="1" si="0"/>
        <v>#NAME?</v>
      </c>
      <c r="F19" s="2"/>
    </row>
    <row r="20" spans="2:6" s="6" customFormat="1" collapsed="1">
      <c r="B20" s="10" t="s">
        <v>14</v>
      </c>
      <c r="C20" s="3" t="e">
        <f ca="1">SUM(_xll.OneStop.ReportPlayer.OSRFunctions.OSRRef(C21))</f>
        <v>#NAME?</v>
      </c>
      <c r="D20" s="3"/>
      <c r="E20" s="3" t="e">
        <f t="shared" ca="1" si="0"/>
        <v>#NAME?</v>
      </c>
      <c r="F20" s="1"/>
    </row>
    <row r="21" spans="2:6" s="8" customFormat="1" hidden="1" outlineLevel="1">
      <c r="B21" s="9" t="e">
        <f ca="1">_xll.OneStop.ReportPlayer.OSRFunctions.OSRGet("Account","AcNo")&amp;" - "&amp;_xll.OneStop.ReportPlayer.OSRFunctions.OSRGet("Account","Nm")</f>
        <v>#NAME?</v>
      </c>
      <c r="C21" s="4" t="e">
        <f ca="1">_xll.OneStop.ReportPlayer.OSRFunctions.OSRGet("ActualTransaction","AcAm")</f>
        <v>#NAME?</v>
      </c>
      <c r="D21" s="4"/>
      <c r="E21" s="4" t="e">
        <f t="shared" ca="1" si="0"/>
        <v>#NAME?</v>
      </c>
      <c r="F21" s="2"/>
    </row>
    <row r="22" spans="2:6" s="6" customFormat="1" collapsed="1">
      <c r="B22" s="10" t="s">
        <v>15</v>
      </c>
      <c r="C22" s="3" t="e">
        <f ca="1">SUM(_xll.OneStop.ReportPlayer.OSRFunctions.OSRRef(C23))</f>
        <v>#NAME?</v>
      </c>
      <c r="D22" s="3"/>
      <c r="E22" s="3" t="e">
        <f t="shared" ca="1" si="0"/>
        <v>#NAME?</v>
      </c>
      <c r="F22" s="1"/>
    </row>
    <row r="23" spans="2:6" s="8" customFormat="1" hidden="1" outlineLevel="1">
      <c r="B23" s="9" t="e">
        <f ca="1">_xll.OneStop.ReportPlayer.OSRFunctions.OSRGet("Account","AcNo")&amp;" - "&amp;_xll.OneStop.ReportPlayer.OSRFunctions.OSRGet("Account","Nm")</f>
        <v>#NAME?</v>
      </c>
      <c r="C23" s="4" t="e">
        <f ca="1">_xll.OneStop.ReportPlayer.OSRFunctions.OSRGet("ActualTransaction","AcAm")</f>
        <v>#NAME?</v>
      </c>
      <c r="D23" s="4"/>
      <c r="E23" s="4" t="e">
        <f t="shared" ca="1" si="0"/>
        <v>#NAME?</v>
      </c>
      <c r="F23" s="2"/>
    </row>
    <row r="24" spans="2:6" s="6" customFormat="1" collapsed="1">
      <c r="B24" s="33" t="s">
        <v>16</v>
      </c>
      <c r="C24" s="7" t="e">
        <f ca="1">C16+C18+C20+C22</f>
        <v>#NAME?</v>
      </c>
      <c r="D24" s="7"/>
      <c r="E24" s="7" t="e">
        <f t="shared" ca="1" si="0"/>
        <v>#NAME?</v>
      </c>
      <c r="F24" s="1"/>
    </row>
    <row r="25" spans="2:6">
      <c r="B25" s="36"/>
      <c r="C25" s="3"/>
      <c r="D25" s="3"/>
      <c r="E25" s="3">
        <f t="shared" si="0"/>
        <v>0</v>
      </c>
    </row>
    <row r="26" spans="2:6" s="6" customFormat="1" ht="15" thickBot="1">
      <c r="B26" s="48" t="s">
        <v>17</v>
      </c>
      <c r="C26" s="30" t="e">
        <f ca="1">C14-C24</f>
        <v>#NAME?</v>
      </c>
      <c r="D26" s="30"/>
      <c r="E26" s="30" t="e">
        <f t="shared" ca="1" si="0"/>
        <v>#NAME?</v>
      </c>
      <c r="F26" s="1"/>
    </row>
    <row r="27" spans="2:6" s="6" customFormat="1" ht="15" thickTop="1">
      <c r="B27" s="10"/>
      <c r="C27" s="3"/>
      <c r="D27" s="3"/>
      <c r="E27" s="3">
        <f t="shared" si="0"/>
        <v>0</v>
      </c>
      <c r="F27" s="1"/>
    </row>
    <row r="28" spans="2:6" s="6" customFormat="1">
      <c r="B28" s="10" t="s">
        <v>18</v>
      </c>
      <c r="C28" s="3" t="e">
        <f ca="1">SUM(_xll.OneStop.ReportPlayer.OSRFunctions.OSRRef(C29))</f>
        <v>#NAME?</v>
      </c>
      <c r="D28" s="3"/>
      <c r="E28" s="3" t="e">
        <f t="shared" ca="1" si="0"/>
        <v>#NAME?</v>
      </c>
      <c r="F28" s="1"/>
    </row>
    <row r="29" spans="2:6" s="8" customFormat="1" hidden="1" outlineLevel="1">
      <c r="B29" s="9" t="e">
        <f ca="1">_xll.OneStop.ReportPlayer.OSRFunctions.OSRGet("Account","AcNo")&amp;" - "&amp;_xll.OneStop.ReportPlayer.OSRFunctions.OSRGet("Account","Nm")</f>
        <v>#NAME?</v>
      </c>
      <c r="C29" s="4" t="e">
        <f ca="1">_xll.OneStop.ReportPlayer.OSRFunctions.OSRGet("ActualTransaction","AcAm")*-1</f>
        <v>#NAME?</v>
      </c>
      <c r="D29" s="4"/>
      <c r="E29" s="4" t="e">
        <f t="shared" ca="1" si="0"/>
        <v>#NAME?</v>
      </c>
      <c r="F29" s="2"/>
    </row>
    <row r="30" spans="2:6" s="6" customFormat="1" collapsed="1">
      <c r="B30" s="10" t="s">
        <v>20</v>
      </c>
      <c r="C30" s="3" t="e">
        <f ca="1">SUM(_xll.OneStop.ReportPlayer.OSRFunctions.OSRRef(C31))</f>
        <v>#NAME?</v>
      </c>
      <c r="D30" s="3"/>
      <c r="E30" s="3" t="e">
        <f t="shared" ca="1" si="0"/>
        <v>#NAME?</v>
      </c>
      <c r="F30" s="1"/>
    </row>
    <row r="31" spans="2:6" s="8" customFormat="1" hidden="1" outlineLevel="1">
      <c r="B31" s="9" t="e">
        <f ca="1">_xll.OneStop.ReportPlayer.OSRFunctions.OSRGet("Account","AcNo")&amp;" - "&amp;_xll.OneStop.ReportPlayer.OSRFunctions.OSRGet("Account","Nm")</f>
        <v>#NAME?</v>
      </c>
      <c r="C31" s="4" t="e">
        <f ca="1">_xll.OneStop.ReportPlayer.OSRFunctions.OSRGet("ActualTransaction","AcAm")</f>
        <v>#NAME?</v>
      </c>
      <c r="D31" s="4"/>
      <c r="E31" s="4" t="e">
        <f t="shared" ca="1" si="0"/>
        <v>#NAME?</v>
      </c>
      <c r="F31" s="2"/>
    </row>
    <row r="32" spans="2:6" s="6" customFormat="1" collapsed="1">
      <c r="B32" s="33" t="s">
        <v>21</v>
      </c>
      <c r="C32" s="7" t="e">
        <f ca="1">C26+C28-C30</f>
        <v>#NAME?</v>
      </c>
      <c r="D32" s="7"/>
      <c r="E32" s="7" t="e">
        <f t="shared" ca="1" si="0"/>
        <v>#NAME?</v>
      </c>
      <c r="F32" s="1"/>
    </row>
    <row r="33" spans="2:6">
      <c r="B33" s="38"/>
    </row>
    <row r="34" spans="2:6" ht="15.5">
      <c r="B34" s="38"/>
      <c r="C34" s="29"/>
      <c r="D34" s="29"/>
    </row>
    <row r="35" spans="2:6" ht="15" customHeight="1">
      <c r="B35" s="56" t="s">
        <v>23</v>
      </c>
      <c r="C35" s="13" t="s">
        <v>25</v>
      </c>
      <c r="D35" s="64"/>
    </row>
    <row r="36" spans="2:6">
      <c r="B36" s="37" t="s">
        <v>26</v>
      </c>
      <c r="C36" s="11" t="str">
        <f ca="1">IF(ISERROR((C6-C16)/C6),"",((C6-C16)/C6))</f>
        <v/>
      </c>
      <c r="D36" s="72"/>
    </row>
    <row r="37" spans="2:6">
      <c r="B37" s="37" t="s">
        <v>27</v>
      </c>
      <c r="C37" s="11" t="str">
        <f ca="1">IF(ISERROR(C18/C6),"",(C18/C6))</f>
        <v/>
      </c>
      <c r="D37" s="72"/>
      <c r="F37" s="5"/>
    </row>
    <row r="38" spans="2:6">
      <c r="B38" s="37" t="s">
        <v>28</v>
      </c>
      <c r="C38" s="11" t="str">
        <f ca="1">IF(ISERROR(C24/C6),"",(C24/C6))</f>
        <v/>
      </c>
      <c r="D38" s="72"/>
    </row>
    <row r="39" spans="2:6">
      <c r="B39" s="39" t="s">
        <v>29</v>
      </c>
      <c r="C39" s="26" t="str">
        <f ca="1">IF(ISERROR(C32/C14),"",(C32/C14))</f>
        <v/>
      </c>
      <c r="D39" s="72"/>
    </row>
    <row r="40" spans="2:6" hidden="1">
      <c r="B40" s="37" t="s">
        <v>30</v>
      </c>
      <c r="C40" s="11"/>
      <c r="D40" s="72"/>
    </row>
    <row r="41" spans="2:6" hidden="1">
      <c r="B41" s="39" t="s">
        <v>31</v>
      </c>
      <c r="C41" s="31" t="str">
        <f ca="1">IF(ISERROR(C32/(#REF!+#REF!)/2),"",(C32/(#REF!+#REF!)/2))</f>
        <v/>
      </c>
      <c r="D41" s="85"/>
    </row>
  </sheetData>
  <mergeCells count="1">
    <mergeCell ref="B4:B5"/>
  </mergeCells>
  <pageMargins left="0.25" right="0.25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61</vt:i4>
      </vt:variant>
    </vt:vector>
  </HeadingPairs>
  <TitlesOfParts>
    <vt:vector size="67" baseType="lpstr">
      <vt:lpstr>Resultatrapport</vt:lpstr>
      <vt:lpstr>OSR_Resultatrapport_1UEKYZN</vt:lpstr>
      <vt:lpstr>OSR_Resultatr...7971fa5d_S12XER</vt:lpstr>
      <vt:lpstr>Resultatrapport per avdeling</vt:lpstr>
      <vt:lpstr>OSR_Resultatr...avdeling_YL5G00</vt:lpstr>
      <vt:lpstr>OSR_Resultatr...74938528_CCHFC5</vt:lpstr>
      <vt:lpstr>Resultatrapport!OSR_GearWriter_0</vt:lpstr>
      <vt:lpstr>'Resultatrapport per avdeling'!OSR_GearWriter_0</vt:lpstr>
      <vt:lpstr>Resultatrapport!OSR_GearWriter_1</vt:lpstr>
      <vt:lpstr>Resultatrapport!OSR_GearWriter_2</vt:lpstr>
      <vt:lpstr>Resultatrapport!OSR_GearWriter_3</vt:lpstr>
      <vt:lpstr>Resultatrapport!OSR_GearWriter_4</vt:lpstr>
      <vt:lpstr>Resultatrapport!OSR_GearWriter_5</vt:lpstr>
      <vt:lpstr>Resultatrapport!OSR_GearWriter_6</vt:lpstr>
      <vt:lpstr>Resultatrapport!OSR_GearWriter_7</vt:lpstr>
      <vt:lpstr>Resultatrapport!OSRRefC11x_0</vt:lpstr>
      <vt:lpstr>Resultatrapport!OSRRefC13x_0</vt:lpstr>
      <vt:lpstr>'Resultatrapport per avdeling'!OSRRefC13x_8</vt:lpstr>
      <vt:lpstr>Resultatrapport!OSRRefC17x_0</vt:lpstr>
      <vt:lpstr>'Resultatrapport per avdeling'!OSRRefC17x_8</vt:lpstr>
      <vt:lpstr>Resultatrapport!OSRRefC19x_0</vt:lpstr>
      <vt:lpstr>Resultatrapport!OSRRefC21x_0</vt:lpstr>
      <vt:lpstr>Resultatrapport!OSRRefC23x_0</vt:lpstr>
      <vt:lpstr>'Resultatrapport per avdeling'!OSRRefC23x_8</vt:lpstr>
      <vt:lpstr>Resultatrapport!OSRRefC29x_0</vt:lpstr>
      <vt:lpstr>'Resultatrapport per avdeling'!OSRRefC29x_8</vt:lpstr>
      <vt:lpstr>Resultatrapport!OSRRefC31x_0</vt:lpstr>
      <vt:lpstr>Resultatrapport!OSRRefC7x_0</vt:lpstr>
      <vt:lpstr>'Resultatrapport per avdeling'!OSRRefC7x_8</vt:lpstr>
      <vt:lpstr>Resultatrapport!OSRRefC9x_0</vt:lpstr>
      <vt:lpstr>'Resultatrapport per avdeling'!OSRRefC9x_8</vt:lpstr>
      <vt:lpstr>Resultatrapport!OSRRefD11x_0</vt:lpstr>
      <vt:lpstr>Resultatrapport!OSRRefD13x_0</vt:lpstr>
      <vt:lpstr>Resultatrapport!OSRRefD17x_0</vt:lpstr>
      <vt:lpstr>Resultatrapport!OSRRefD19x_0</vt:lpstr>
      <vt:lpstr>Resultatrapport!OSRRefD21x_0</vt:lpstr>
      <vt:lpstr>Resultatrapport!OSRRefD23x_0</vt:lpstr>
      <vt:lpstr>Resultatrapport!OSRRefD29x_0</vt:lpstr>
      <vt:lpstr>Resultatrapport!OSRRefD31x_0</vt:lpstr>
      <vt:lpstr>Resultatrapport!OSRRefD7x_0</vt:lpstr>
      <vt:lpstr>Resultatrapport!OSRRefD9x_0</vt:lpstr>
      <vt:lpstr>Resultatrapport!OSRRefF11x_0</vt:lpstr>
      <vt:lpstr>Resultatrapport!OSRRefF13x_0</vt:lpstr>
      <vt:lpstr>Resultatrapport!OSRRefF17x_0</vt:lpstr>
      <vt:lpstr>Resultatrapport!OSRRefF19x_0</vt:lpstr>
      <vt:lpstr>Resultatrapport!OSRRefF21x_0</vt:lpstr>
      <vt:lpstr>Resultatrapport!OSRRefF23x_0</vt:lpstr>
      <vt:lpstr>Resultatrapport!OSRRefF29x_0</vt:lpstr>
      <vt:lpstr>Resultatrapport!OSRRefF31x_0</vt:lpstr>
      <vt:lpstr>Resultatrapport!OSRRefF7x_0</vt:lpstr>
      <vt:lpstr>Resultatrapport!OSRRefF9x_0</vt:lpstr>
      <vt:lpstr>Resultatrapport!OSRRefG11x_0</vt:lpstr>
      <vt:lpstr>Resultatrapport!OSRRefG13x_0</vt:lpstr>
      <vt:lpstr>Resultatrapport!OSRRefG17x_0</vt:lpstr>
      <vt:lpstr>Resultatrapport!OSRRefG19x_0</vt:lpstr>
      <vt:lpstr>Resultatrapport!OSRRefG21x_0</vt:lpstr>
      <vt:lpstr>Resultatrapport!OSRRefG23x_0</vt:lpstr>
      <vt:lpstr>Resultatrapport!OSRRefG29x_0</vt:lpstr>
      <vt:lpstr>Resultatrapport!OSRRefG31x_0</vt:lpstr>
      <vt:lpstr>Resultatrapport!OSRRefG7x_0</vt:lpstr>
      <vt:lpstr>Resultatrapport!OSRRefG9x_0</vt:lpstr>
      <vt:lpstr>OSR_Resultatr...74938528_CCHFC5!Utskriftsområde</vt:lpstr>
      <vt:lpstr>OSR_Resultatr...7971fa5d_S12XER!Utskriftsområde</vt:lpstr>
      <vt:lpstr>OSR_Resultatr...avdeling_YL5G00!Utskriftsområde</vt:lpstr>
      <vt:lpstr>OSR_Resultatrapport_1UEKYZN!Utskriftsområde</vt:lpstr>
      <vt:lpstr>Resultatrapport!Utskriftsområde</vt:lpstr>
      <vt:lpstr>'Resultatrapport per avdeling'!Utskriftsområde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Tidtaker3</dc:creator>
  <cp:lastModifiedBy>Endre Ulsaker</cp:lastModifiedBy>
  <cp:lastPrinted>2020-03-03T20:06:19Z</cp:lastPrinted>
  <dcterms:created xsi:type="dcterms:W3CDTF">2018-02-28T09:43:04Z</dcterms:created>
  <dcterms:modified xsi:type="dcterms:W3CDTF">2020-03-04T19:36:54Z</dcterms:modified>
</cp:coreProperties>
</file>