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/>
  <mc:AlternateContent xmlns:mc="http://schemas.openxmlformats.org/markup-compatibility/2006">
    <mc:Choice Requires="x15">
      <x15ac:absPath xmlns:x15ac="http://schemas.microsoft.com/office/spreadsheetml/2010/11/ac" url="https://d.docs.live.net/dcacd468d1ed2933/Ålen IL/Møter/Årsmøte/2026/"/>
    </mc:Choice>
  </mc:AlternateContent>
  <xr:revisionPtr revIDLastSave="0" documentId="8_{B0E490A1-7C48-4066-BD2A-FA1F54EA29D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Detaljert" sheetId="1" r:id="rId1"/>
    <sheet name="Sammendrag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30" i="1" l="1"/>
  <c r="F29" i="1"/>
  <c r="F28" i="1"/>
  <c r="F27" i="1"/>
  <c r="F26" i="1"/>
  <c r="E32" i="1"/>
  <c r="E30" i="1"/>
  <c r="E29" i="1"/>
  <c r="E28" i="1"/>
  <c r="E27" i="1"/>
  <c r="E26" i="1"/>
  <c r="D32" i="1"/>
  <c r="D30" i="1"/>
  <c r="D29" i="1"/>
  <c r="D28" i="1"/>
  <c r="D27" i="1"/>
  <c r="D26" i="1"/>
  <c r="D10" i="2"/>
  <c r="D11" i="2" s="1"/>
  <c r="C10" i="2"/>
  <c r="C11" i="2" s="1"/>
  <c r="F11" i="2" s="1"/>
  <c r="B10" i="2"/>
  <c r="B11" i="2" s="1"/>
  <c r="D7" i="2"/>
  <c r="C7" i="2"/>
  <c r="B7" i="2"/>
  <c r="D6" i="2"/>
  <c r="C6" i="2"/>
  <c r="B6" i="2"/>
  <c r="D5" i="2"/>
  <c r="C5" i="2"/>
  <c r="B5" i="2"/>
  <c r="D3" i="2"/>
  <c r="C3" i="2"/>
  <c r="B3" i="2"/>
  <c r="D2" i="2"/>
  <c r="C2" i="2"/>
  <c r="B2" i="2"/>
  <c r="H24" i="1"/>
  <c r="G24" i="1"/>
  <c r="G23" i="1"/>
  <c r="H23" i="1" s="1"/>
  <c r="G22" i="1"/>
  <c r="H22" i="1" s="1"/>
  <c r="H21" i="1"/>
  <c r="G21" i="1"/>
  <c r="H20" i="1"/>
  <c r="G20" i="1"/>
  <c r="G19" i="1"/>
  <c r="H19" i="1" s="1"/>
  <c r="G18" i="1"/>
  <c r="H18" i="1" s="1"/>
  <c r="G17" i="1"/>
  <c r="H17" i="1" s="1"/>
  <c r="H16" i="1"/>
  <c r="G16" i="1"/>
  <c r="G15" i="1"/>
  <c r="H15" i="1" s="1"/>
  <c r="G14" i="1"/>
  <c r="H14" i="1" s="1"/>
  <c r="G13" i="1"/>
  <c r="H13" i="1" s="1"/>
  <c r="H12" i="1"/>
  <c r="G12" i="1"/>
  <c r="G11" i="1"/>
  <c r="H11" i="1" s="1"/>
  <c r="G10" i="1"/>
  <c r="H10" i="1" s="1"/>
  <c r="H9" i="1"/>
  <c r="G9" i="1"/>
  <c r="H8" i="1"/>
  <c r="G8" i="1"/>
  <c r="H7" i="1"/>
  <c r="G7" i="1"/>
  <c r="G6" i="1"/>
  <c r="H6" i="1" s="1"/>
  <c r="G5" i="1"/>
  <c r="H5" i="1" s="1"/>
  <c r="H4" i="1"/>
  <c r="G4" i="1"/>
  <c r="G3" i="1"/>
  <c r="H3" i="1" s="1"/>
  <c r="H2" i="1"/>
  <c r="G2" i="1"/>
  <c r="F32" i="1" l="1"/>
  <c r="B8" i="2"/>
  <c r="E3" i="2"/>
  <c r="F3" i="2" s="1"/>
  <c r="E7" i="2"/>
  <c r="F7" i="2" s="1"/>
  <c r="E2" i="2"/>
  <c r="F2" i="2" s="1"/>
  <c r="E11" i="2"/>
  <c r="E6" i="2"/>
  <c r="F6" i="2" s="1"/>
  <c r="D8" i="2"/>
  <c r="D4" i="2"/>
  <c r="C8" i="2"/>
  <c r="B4" i="2"/>
  <c r="E5" i="2"/>
  <c r="F5" i="2" s="1"/>
  <c r="C4" i="2"/>
  <c r="E10" i="2"/>
  <c r="F10" i="2"/>
  <c r="D9" i="2" l="1"/>
  <c r="D12" i="2" s="1"/>
  <c r="E8" i="2"/>
  <c r="F8" i="2" s="1"/>
  <c r="E4" i="2"/>
  <c r="F4" i="2" s="1"/>
  <c r="B9" i="2"/>
  <c r="C9" i="2"/>
  <c r="C12" i="2" l="1"/>
  <c r="E9" i="2"/>
  <c r="F9" i="2" s="1"/>
  <c r="B12" i="2"/>
  <c r="E12" i="2" l="1"/>
  <c r="F12" i="2" s="1"/>
</calcChain>
</file>

<file path=xl/sharedStrings.xml><?xml version="1.0" encoding="utf-8"?>
<sst xmlns="http://schemas.openxmlformats.org/spreadsheetml/2006/main" count="78" uniqueCount="52">
  <si>
    <t>Gruppe</t>
  </si>
  <si>
    <t>Kontonr</t>
  </si>
  <si>
    <t>Kontonavn</t>
  </si>
  <si>
    <t>Resultat 2025</t>
  </si>
  <si>
    <t>Budsjett 2025</t>
  </si>
  <si>
    <t>Budsjett 2026 (fyll inn)</t>
  </si>
  <si>
    <t>Avvik kr (2025)</t>
  </si>
  <si>
    <t>Avvik % (2025)</t>
  </si>
  <si>
    <t>Driftsinntekter</t>
  </si>
  <si>
    <t>Sponsorinntekter</t>
  </si>
  <si>
    <t>Salg dopapir</t>
  </si>
  <si>
    <t>Andre driftsinntekter</t>
  </si>
  <si>
    <t>Inntekter lysløypeserien</t>
  </si>
  <si>
    <t>Albygdsprinten (inntekter)</t>
  </si>
  <si>
    <t>Inntekter Svenhukrennet</t>
  </si>
  <si>
    <t>Hessdalslia opp</t>
  </si>
  <si>
    <t>Samlinger (inntekter)</t>
  </si>
  <si>
    <t>Overført fra hovedlaget</t>
  </si>
  <si>
    <t>Varekostnader</t>
  </si>
  <si>
    <t>Varekjøp drakter/utstyr/premier</t>
  </si>
  <si>
    <t>Påmeldingsavgift / startkontingenter</t>
  </si>
  <si>
    <t>Hall-/baneleie</t>
  </si>
  <si>
    <t>Varekjøp dopapir</t>
  </si>
  <si>
    <t>Utgifter lysløperenn</t>
  </si>
  <si>
    <t>Albygdsprinten (utgifter)</t>
  </si>
  <si>
    <t>Utgifter Svenhukrennet</t>
  </si>
  <si>
    <t>Startkontingent</t>
  </si>
  <si>
    <t>Lønnskostnader</t>
  </si>
  <si>
    <t>Kurs / møter</t>
  </si>
  <si>
    <t>Andre driftskostnader</t>
  </si>
  <si>
    <t>Løypekjøring</t>
  </si>
  <si>
    <t>Vedlikehold maskiner/anlegg</t>
  </si>
  <si>
    <t>Kontorekvisita</t>
  </si>
  <si>
    <t>Utgifter samlinger/turneringer</t>
  </si>
  <si>
    <t>Bank- og kortgebyrer</t>
  </si>
  <si>
    <t>Finans</t>
  </si>
  <si>
    <t>Renteinntekter</t>
  </si>
  <si>
    <t>Post</t>
  </si>
  <si>
    <t>Sum salgsinntekter</t>
  </si>
  <si>
    <t>Sum andre driftsinntekter</t>
  </si>
  <si>
    <t>Sum driftsinntekter</t>
  </si>
  <si>
    <t>Sum varekostnader</t>
  </si>
  <si>
    <t>Sum lønnskostnader</t>
  </si>
  <si>
    <t>Sum andre driftskostnader</t>
  </si>
  <si>
    <t>Sum driftskostnader</t>
  </si>
  <si>
    <t>Driftsresultat</t>
  </si>
  <si>
    <t>Sum finansinntekter</t>
  </si>
  <si>
    <t>Netto finans</t>
  </si>
  <si>
    <t>Årsresultat</t>
  </si>
  <si>
    <t>NB: Budsjett 2025 kan endres i kolonnen «Budsjett 2025» (Detaljert). Budsjett 2026 fylles inn av deg.</t>
  </si>
  <si>
    <t>Varekostnad</t>
  </si>
  <si>
    <t>Resultat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</si>
</sst>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rgb="FFFFFFFF"/>
      <name val="Calibri"/>
    </font>
    <font>
      <b/>
      <sz val="11"/>
      <name val="Calibri"/>
    </font>
    <font>
      <i/>
      <sz val="11"/>
      <color rgb="FF666666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4E79"/>
      </patternFill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4" fontId="0" fillId="0" borderId="0" xfId="0" applyNumberFormat="1"/>
    <xf numFmtId="10" fontId="0" fillId="0" borderId="0" xfId="0" applyNumberFormat="1"/>
    <xf numFmtId="0" fontId="2" fillId="0" borderId="0" xfId="0" applyFont="1"/>
    <xf numFmtId="4" fontId="2" fillId="0" borderId="0" xfId="0" applyNumberFormat="1" applyFont="1"/>
    <xf numFmtId="10" fontId="2" fillId="0" borderId="0" xfId="0" applyNumberFormat="1" applyFont="1"/>
    <xf numFmtId="0" fontId="0" fillId="3" borderId="0" xfId="0" applyFill="1"/>
    <xf numFmtId="0" fontId="3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2"/>
  <sheetViews>
    <sheetView tabSelected="1" workbookViewId="0">
      <pane ySplit="1" topLeftCell="A2" activePane="bottomLeft" state="frozen"/>
      <selection pane="bottomLeft" activeCell="K35" sqref="K35"/>
    </sheetView>
  </sheetViews>
  <sheetFormatPr baseColWidth="10" defaultColWidth="8.88671875" defaultRowHeight="14.4" x14ac:dyDescent="0.3"/>
  <cols>
    <col min="1" max="1" width="22" customWidth="1"/>
    <col min="2" max="2" width="10" customWidth="1"/>
    <col min="3" max="3" width="38" customWidth="1"/>
    <col min="4" max="5" width="14" customWidth="1"/>
    <col min="6" max="6" width="20" customWidth="1"/>
    <col min="7" max="7" width="14" customWidth="1"/>
    <col min="8" max="8" width="12" customWidth="1"/>
  </cols>
  <sheetData>
    <row r="1" spans="1:8" ht="28.8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3">
      <c r="A2" s="7" t="s">
        <v>8</v>
      </c>
      <c r="B2">
        <v>3150</v>
      </c>
      <c r="C2" t="s">
        <v>9</v>
      </c>
      <c r="D2" s="2">
        <v>4000</v>
      </c>
      <c r="E2" s="2">
        <v>0</v>
      </c>
      <c r="F2" s="2">
        <v>5000</v>
      </c>
      <c r="G2" s="2">
        <f t="shared" ref="G2:G24" si="0">D2-E2</f>
        <v>4000</v>
      </c>
      <c r="H2" s="3" t="str">
        <f t="shared" ref="H2:H24" si="1">IF(E2=0,"",G2/E2)</f>
        <v/>
      </c>
    </row>
    <row r="3" spans="1:8" x14ac:dyDescent="0.3">
      <c r="A3" s="7" t="s">
        <v>8</v>
      </c>
      <c r="B3">
        <v>3180</v>
      </c>
      <c r="C3" t="s">
        <v>10</v>
      </c>
      <c r="D3" s="2">
        <v>44595.21</v>
      </c>
      <c r="E3" s="2">
        <v>80000</v>
      </c>
      <c r="F3" s="2">
        <v>80000</v>
      </c>
      <c r="G3" s="2">
        <f t="shared" si="0"/>
        <v>-35404.79</v>
      </c>
      <c r="H3" s="3">
        <f t="shared" si="1"/>
        <v>-0.44255987499999999</v>
      </c>
    </row>
    <row r="4" spans="1:8" x14ac:dyDescent="0.3">
      <c r="A4" t="s">
        <v>11</v>
      </c>
      <c r="B4">
        <v>3521</v>
      </c>
      <c r="C4" t="s">
        <v>12</v>
      </c>
      <c r="D4" s="2">
        <v>3271.62</v>
      </c>
      <c r="E4" s="2">
        <v>5000</v>
      </c>
      <c r="F4" s="2">
        <v>6000</v>
      </c>
      <c r="G4" s="2">
        <f t="shared" si="0"/>
        <v>-1728.38</v>
      </c>
      <c r="H4" s="3">
        <f t="shared" si="1"/>
        <v>-0.34567600000000004</v>
      </c>
    </row>
    <row r="5" spans="1:8" x14ac:dyDescent="0.3">
      <c r="A5" t="s">
        <v>11</v>
      </c>
      <c r="B5">
        <v>3522</v>
      </c>
      <c r="C5" t="s">
        <v>13</v>
      </c>
      <c r="D5" s="2">
        <v>17475.23</v>
      </c>
      <c r="E5" s="2">
        <v>10000</v>
      </c>
      <c r="F5" s="2">
        <v>20000</v>
      </c>
      <c r="G5" s="2">
        <f t="shared" si="0"/>
        <v>7475.23</v>
      </c>
      <c r="H5" s="3">
        <f t="shared" si="1"/>
        <v>0.74752299999999994</v>
      </c>
    </row>
    <row r="6" spans="1:8" x14ac:dyDescent="0.3">
      <c r="A6" t="s">
        <v>11</v>
      </c>
      <c r="B6">
        <v>3524</v>
      </c>
      <c r="C6" t="s">
        <v>14</v>
      </c>
      <c r="D6" s="2">
        <v>0</v>
      </c>
      <c r="E6" s="2">
        <v>30000</v>
      </c>
      <c r="F6" s="2">
        <v>35000</v>
      </c>
      <c r="G6" s="2">
        <f t="shared" si="0"/>
        <v>-30000</v>
      </c>
      <c r="H6" s="3">
        <f t="shared" si="1"/>
        <v>-1</v>
      </c>
    </row>
    <row r="7" spans="1:8" x14ac:dyDescent="0.3">
      <c r="A7" t="s">
        <v>11</v>
      </c>
      <c r="B7">
        <v>3525</v>
      </c>
      <c r="C7" t="s">
        <v>15</v>
      </c>
      <c r="D7" s="2">
        <v>2947.5</v>
      </c>
      <c r="E7" s="2">
        <v>0</v>
      </c>
      <c r="F7" s="2">
        <v>3000</v>
      </c>
      <c r="G7" s="2">
        <f t="shared" si="0"/>
        <v>2947.5</v>
      </c>
      <c r="H7" s="3" t="str">
        <f t="shared" si="1"/>
        <v/>
      </c>
    </row>
    <row r="8" spans="1:8" x14ac:dyDescent="0.3">
      <c r="A8" t="s">
        <v>11</v>
      </c>
      <c r="B8">
        <v>3901</v>
      </c>
      <c r="C8" t="s">
        <v>16</v>
      </c>
      <c r="D8" s="2">
        <v>9150</v>
      </c>
      <c r="E8" s="2">
        <v>0</v>
      </c>
      <c r="F8" s="2">
        <v>25000</v>
      </c>
      <c r="G8" s="2">
        <f t="shared" si="0"/>
        <v>9150</v>
      </c>
      <c r="H8" s="3" t="str">
        <f t="shared" si="1"/>
        <v/>
      </c>
    </row>
    <row r="9" spans="1:8" x14ac:dyDescent="0.3">
      <c r="A9" t="s">
        <v>11</v>
      </c>
      <c r="B9">
        <v>3490</v>
      </c>
      <c r="C9" t="s">
        <v>17</v>
      </c>
      <c r="D9" s="2">
        <v>0</v>
      </c>
      <c r="E9" s="2">
        <v>0</v>
      </c>
      <c r="F9" s="2"/>
      <c r="G9" s="2">
        <f t="shared" si="0"/>
        <v>0</v>
      </c>
      <c r="H9" s="3" t="str">
        <f t="shared" si="1"/>
        <v/>
      </c>
    </row>
    <row r="10" spans="1:8" x14ac:dyDescent="0.3">
      <c r="A10" s="7" t="s">
        <v>18</v>
      </c>
      <c r="B10">
        <v>4110</v>
      </c>
      <c r="C10" t="s">
        <v>19</v>
      </c>
      <c r="D10" s="2">
        <v>9950.5</v>
      </c>
      <c r="E10" s="2">
        <v>15000</v>
      </c>
      <c r="F10" s="2">
        <v>10000</v>
      </c>
      <c r="G10" s="2">
        <f t="shared" si="0"/>
        <v>-5049.5</v>
      </c>
      <c r="H10" s="3">
        <f t="shared" si="1"/>
        <v>-0.33663333333333334</v>
      </c>
    </row>
    <row r="11" spans="1:8" x14ac:dyDescent="0.3">
      <c r="A11" s="7" t="s">
        <v>18</v>
      </c>
      <c r="B11">
        <v>4210</v>
      </c>
      <c r="C11" t="s">
        <v>20</v>
      </c>
      <c r="D11" s="2">
        <v>17080</v>
      </c>
      <c r="E11" s="2">
        <v>4000</v>
      </c>
      <c r="F11" s="2">
        <v>14000</v>
      </c>
      <c r="G11" s="2">
        <f t="shared" si="0"/>
        <v>13080</v>
      </c>
      <c r="H11" s="3">
        <f t="shared" si="1"/>
        <v>3.27</v>
      </c>
    </row>
    <row r="12" spans="1:8" x14ac:dyDescent="0.3">
      <c r="A12" s="7" t="s">
        <v>18</v>
      </c>
      <c r="B12">
        <v>4250</v>
      </c>
      <c r="C12" t="s">
        <v>21</v>
      </c>
      <c r="D12" s="2">
        <v>1790</v>
      </c>
      <c r="E12" s="2">
        <v>2000</v>
      </c>
      <c r="F12" s="2">
        <v>1800</v>
      </c>
      <c r="G12" s="2">
        <f t="shared" si="0"/>
        <v>-210</v>
      </c>
      <c r="H12" s="3">
        <f t="shared" si="1"/>
        <v>-0.105</v>
      </c>
    </row>
    <row r="13" spans="1:8" x14ac:dyDescent="0.3">
      <c r="A13" s="7" t="s">
        <v>18</v>
      </c>
      <c r="B13">
        <v>4300</v>
      </c>
      <c r="C13" t="s">
        <v>22</v>
      </c>
      <c r="D13" s="2">
        <v>0</v>
      </c>
      <c r="E13" s="2">
        <v>0</v>
      </c>
      <c r="F13" s="2">
        <v>75000</v>
      </c>
      <c r="G13" s="2">
        <f t="shared" si="0"/>
        <v>0</v>
      </c>
      <c r="H13" s="3" t="str">
        <f t="shared" si="1"/>
        <v/>
      </c>
    </row>
    <row r="14" spans="1:8" x14ac:dyDescent="0.3">
      <c r="A14" s="7" t="s">
        <v>18</v>
      </c>
      <c r="B14">
        <v>4521</v>
      </c>
      <c r="C14" t="s">
        <v>23</v>
      </c>
      <c r="D14" s="2">
        <v>1430</v>
      </c>
      <c r="E14" s="2">
        <v>2500</v>
      </c>
      <c r="F14" s="2">
        <v>2500</v>
      </c>
      <c r="G14" s="2">
        <f t="shared" si="0"/>
        <v>-1070</v>
      </c>
      <c r="H14" s="3">
        <f t="shared" si="1"/>
        <v>-0.42799999999999999</v>
      </c>
    </row>
    <row r="15" spans="1:8" x14ac:dyDescent="0.3">
      <c r="A15" s="7" t="s">
        <v>18</v>
      </c>
      <c r="B15">
        <v>4522</v>
      </c>
      <c r="C15" t="s">
        <v>24</v>
      </c>
      <c r="D15" s="2">
        <v>5442</v>
      </c>
      <c r="E15" s="2">
        <v>12000</v>
      </c>
      <c r="F15" s="2">
        <v>6000</v>
      </c>
      <c r="G15" s="2">
        <f t="shared" si="0"/>
        <v>-6558</v>
      </c>
      <c r="H15" s="3">
        <f t="shared" si="1"/>
        <v>-0.54649999999999999</v>
      </c>
    </row>
    <row r="16" spans="1:8" x14ac:dyDescent="0.3">
      <c r="A16" s="7" t="s">
        <v>18</v>
      </c>
      <c r="B16">
        <v>4524</v>
      </c>
      <c r="C16" t="s">
        <v>25</v>
      </c>
      <c r="D16" s="2">
        <v>472</v>
      </c>
      <c r="E16" s="2">
        <v>14000</v>
      </c>
      <c r="F16" s="2">
        <v>15000</v>
      </c>
      <c r="G16" s="2">
        <f t="shared" si="0"/>
        <v>-13528</v>
      </c>
      <c r="H16" s="3">
        <f t="shared" si="1"/>
        <v>-0.9662857142857143</v>
      </c>
    </row>
    <row r="17" spans="1:8" x14ac:dyDescent="0.3">
      <c r="A17" s="7" t="s">
        <v>18</v>
      </c>
      <c r="B17">
        <v>4570</v>
      </c>
      <c r="C17" t="s">
        <v>26</v>
      </c>
      <c r="D17" s="2">
        <v>0</v>
      </c>
      <c r="E17" s="2">
        <v>4500</v>
      </c>
      <c r="F17" s="2">
        <v>0</v>
      </c>
      <c r="G17" s="2">
        <f t="shared" si="0"/>
        <v>-4500</v>
      </c>
      <c r="H17" s="3">
        <f t="shared" si="1"/>
        <v>-1</v>
      </c>
    </row>
    <row r="18" spans="1:8" x14ac:dyDescent="0.3">
      <c r="A18" s="7" t="s">
        <v>27</v>
      </c>
      <c r="B18">
        <v>5950</v>
      </c>
      <c r="C18" t="s">
        <v>28</v>
      </c>
      <c r="D18" s="2">
        <v>0</v>
      </c>
      <c r="E18" s="2">
        <v>500</v>
      </c>
      <c r="F18" s="2">
        <v>500</v>
      </c>
      <c r="G18" s="2">
        <f t="shared" si="0"/>
        <v>-500</v>
      </c>
      <c r="H18" s="3">
        <f t="shared" si="1"/>
        <v>-1</v>
      </c>
    </row>
    <row r="19" spans="1:8" x14ac:dyDescent="0.3">
      <c r="A19" t="s">
        <v>29</v>
      </c>
      <c r="B19">
        <v>6630</v>
      </c>
      <c r="C19" t="s">
        <v>30</v>
      </c>
      <c r="D19" s="2">
        <v>0</v>
      </c>
      <c r="E19" s="2">
        <v>1500</v>
      </c>
      <c r="F19" s="2">
        <v>1500</v>
      </c>
      <c r="G19" s="2">
        <f t="shared" si="0"/>
        <v>-1500</v>
      </c>
      <c r="H19" s="3">
        <f t="shared" si="1"/>
        <v>-1</v>
      </c>
    </row>
    <row r="20" spans="1:8" x14ac:dyDescent="0.3">
      <c r="A20" t="s">
        <v>29</v>
      </c>
      <c r="B20">
        <v>6610</v>
      </c>
      <c r="C20" t="s">
        <v>31</v>
      </c>
      <c r="D20" s="2">
        <v>28946</v>
      </c>
      <c r="E20" s="2">
        <v>2000</v>
      </c>
      <c r="F20" s="2">
        <v>10000</v>
      </c>
      <c r="G20" s="2">
        <f t="shared" si="0"/>
        <v>26946</v>
      </c>
      <c r="H20" s="3">
        <f t="shared" si="1"/>
        <v>13.473000000000001</v>
      </c>
    </row>
    <row r="21" spans="1:8" x14ac:dyDescent="0.3">
      <c r="A21" t="s">
        <v>29</v>
      </c>
      <c r="B21">
        <v>6800</v>
      </c>
      <c r="C21" t="s">
        <v>32</v>
      </c>
      <c r="D21" s="2">
        <v>0</v>
      </c>
      <c r="E21" s="2">
        <v>0</v>
      </c>
      <c r="F21" s="2">
        <v>0</v>
      </c>
      <c r="G21" s="2">
        <f t="shared" si="0"/>
        <v>0</v>
      </c>
      <c r="H21" s="3" t="str">
        <f t="shared" si="1"/>
        <v/>
      </c>
    </row>
    <row r="22" spans="1:8" x14ac:dyDescent="0.3">
      <c r="A22" t="s">
        <v>29</v>
      </c>
      <c r="B22">
        <v>7710</v>
      </c>
      <c r="C22" t="s">
        <v>33</v>
      </c>
      <c r="D22" s="2">
        <v>34107.230000000003</v>
      </c>
      <c r="E22" s="2">
        <v>40000</v>
      </c>
      <c r="F22" s="2">
        <v>35000</v>
      </c>
      <c r="G22" s="2">
        <f t="shared" si="0"/>
        <v>-5892.7699999999968</v>
      </c>
      <c r="H22" s="3">
        <f t="shared" si="1"/>
        <v>-0.14731924999999993</v>
      </c>
    </row>
    <row r="23" spans="1:8" x14ac:dyDescent="0.3">
      <c r="A23" t="s">
        <v>29</v>
      </c>
      <c r="B23">
        <v>7770</v>
      </c>
      <c r="C23" t="s">
        <v>34</v>
      </c>
      <c r="D23" s="2">
        <v>74.599999999999994</v>
      </c>
      <c r="E23" s="2">
        <v>200</v>
      </c>
      <c r="F23" s="2">
        <v>100</v>
      </c>
      <c r="G23" s="2">
        <f t="shared" si="0"/>
        <v>-125.4</v>
      </c>
      <c r="H23" s="3">
        <f t="shared" si="1"/>
        <v>-0.627</v>
      </c>
    </row>
    <row r="24" spans="1:8" x14ac:dyDescent="0.3">
      <c r="A24" t="s">
        <v>35</v>
      </c>
      <c r="B24">
        <v>8070</v>
      </c>
      <c r="C24" t="s">
        <v>36</v>
      </c>
      <c r="D24" s="2">
        <v>4802</v>
      </c>
      <c r="E24" s="2">
        <v>0</v>
      </c>
      <c r="F24" s="2">
        <v>2500</v>
      </c>
      <c r="G24" s="2">
        <f t="shared" si="0"/>
        <v>4802</v>
      </c>
      <c r="H24" s="3" t="str">
        <f t="shared" si="1"/>
        <v/>
      </c>
    </row>
    <row r="26" spans="1:8" x14ac:dyDescent="0.3">
      <c r="A26" t="s">
        <v>8</v>
      </c>
      <c r="D26" s="2">
        <f>D2+D3</f>
        <v>48595.21</v>
      </c>
      <c r="E26" s="2">
        <f>E2+E3</f>
        <v>80000</v>
      </c>
      <c r="F26" s="2">
        <f>F2+F3</f>
        <v>85000</v>
      </c>
    </row>
    <row r="27" spans="1:8" x14ac:dyDescent="0.3">
      <c r="A27" t="s">
        <v>11</v>
      </c>
      <c r="D27" s="2">
        <f>D4+D5+D6+D7+D8+D9</f>
        <v>32844.35</v>
      </c>
      <c r="E27" s="2">
        <f>E4+E5+E6+E7+E8+E9</f>
        <v>45000</v>
      </c>
      <c r="F27" s="2">
        <f>F5+F6+F7+F8+F9</f>
        <v>83000</v>
      </c>
    </row>
    <row r="28" spans="1:8" x14ac:dyDescent="0.3">
      <c r="A28" t="s">
        <v>50</v>
      </c>
      <c r="D28" s="2">
        <f>D10+D11+D12+D14+D15+D16+D17</f>
        <v>36164.5</v>
      </c>
      <c r="E28" s="2">
        <f>E10+E11+E12+E13+E14+E15+E16+E17+E18</f>
        <v>54500</v>
      </c>
      <c r="F28" s="2">
        <f>F10+F11+F12+F13+F14+F15+F17+F16+F18</f>
        <v>124800</v>
      </c>
    </row>
    <row r="29" spans="1:8" x14ac:dyDescent="0.3">
      <c r="A29" t="s">
        <v>29</v>
      </c>
      <c r="D29" s="2">
        <f>D19+D20+D21+D22+D23</f>
        <v>63127.83</v>
      </c>
      <c r="E29" s="2">
        <f>E19+E20+E21+E22+E23</f>
        <v>43700</v>
      </c>
      <c r="F29" s="2">
        <f>F20+F21+F22+F23</f>
        <v>45100</v>
      </c>
    </row>
    <row r="30" spans="1:8" x14ac:dyDescent="0.3">
      <c r="A30" t="s">
        <v>35</v>
      </c>
      <c r="D30" s="2">
        <f>D24</f>
        <v>4802</v>
      </c>
      <c r="E30" s="2">
        <f>E24</f>
        <v>0</v>
      </c>
      <c r="F30" s="2">
        <f>F24</f>
        <v>2500</v>
      </c>
    </row>
    <row r="32" spans="1:8" x14ac:dyDescent="0.3">
      <c r="A32" t="s">
        <v>51</v>
      </c>
      <c r="D32" s="2">
        <f>D26+D27+D30-D28-D29</f>
        <v>-13050.770000000004</v>
      </c>
      <c r="E32" s="2">
        <f>E26+E27+E30-E28-E29</f>
        <v>26800</v>
      </c>
      <c r="F32" s="2">
        <f>F26+F27+F30-F28-F29</f>
        <v>600</v>
      </c>
    </row>
  </sheetData>
  <pageMargins left="0.75" right="0.75" top="1" bottom="1" header="0.5" footer="0.5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4"/>
  <sheetViews>
    <sheetView workbookViewId="0">
      <pane ySplit="1" topLeftCell="A2" activePane="bottomLeft" state="frozen"/>
      <selection pane="bottomLeft"/>
    </sheetView>
  </sheetViews>
  <sheetFormatPr baseColWidth="10" defaultColWidth="8.88671875" defaultRowHeight="14.4" x14ac:dyDescent="0.3"/>
  <cols>
    <col min="1" max="1" width="28" customWidth="1"/>
    <col min="2" max="3" width="14" customWidth="1"/>
    <col min="4" max="4" width="20" customWidth="1"/>
    <col min="5" max="5" width="14" customWidth="1"/>
    <col min="6" max="6" width="12" customWidth="1"/>
  </cols>
  <sheetData>
    <row r="1" spans="1:6" ht="28.8" x14ac:dyDescent="0.3">
      <c r="A1" s="1" t="s">
        <v>37</v>
      </c>
      <c r="B1" s="1" t="s">
        <v>3</v>
      </c>
      <c r="C1" s="1" t="s">
        <v>4</v>
      </c>
      <c r="D1" s="1" t="s">
        <v>5</v>
      </c>
      <c r="E1" s="1" t="s">
        <v>6</v>
      </c>
      <c r="F1" s="1" t="s">
        <v>7</v>
      </c>
    </row>
    <row r="2" spans="1:6" x14ac:dyDescent="0.3">
      <c r="A2" t="s">
        <v>38</v>
      </c>
      <c r="B2" s="2">
        <f>SUMIF(Detaljert!A:A,"Driftsinntekter",Detaljert!D:D)</f>
        <v>97190.42</v>
      </c>
      <c r="C2" s="2">
        <f>SUMIF(Detaljert!A:A,"Driftsinntekter",Detaljert!E:E)</f>
        <v>160000</v>
      </c>
      <c r="D2" s="2">
        <f>SUMIF(Detaljert!A:A,"Driftsinntekter",Detaljert!F:F)</f>
        <v>170000</v>
      </c>
      <c r="E2" s="2">
        <f t="shared" ref="E2:E12" si="0">B2-C2</f>
        <v>-62809.58</v>
      </c>
      <c r="F2" s="3">
        <f t="shared" ref="F2:F12" si="1">IF(C2=0,"",E2/C2)</f>
        <v>-0.392559875</v>
      </c>
    </row>
    <row r="3" spans="1:6" x14ac:dyDescent="0.3">
      <c r="A3" t="s">
        <v>39</v>
      </c>
      <c r="B3" s="2">
        <f>SUMIF(Detaljert!A:A,"Andre driftsinntekter",Detaljert!D:D)</f>
        <v>65688.7</v>
      </c>
      <c r="C3" s="2">
        <f>SUMIF(Detaljert!A:A,"Andre driftsinntekter",Detaljert!E:E)</f>
        <v>90000</v>
      </c>
      <c r="D3" s="2">
        <f>SUMIF(Detaljert!A:A,"Andre driftsinntekter",Detaljert!F:F)</f>
        <v>172000</v>
      </c>
      <c r="E3" s="2">
        <f t="shared" si="0"/>
        <v>-24311.300000000003</v>
      </c>
      <c r="F3" s="3">
        <f t="shared" si="1"/>
        <v>-0.27012555555555556</v>
      </c>
    </row>
    <row r="4" spans="1:6" x14ac:dyDescent="0.3">
      <c r="A4" s="4" t="s">
        <v>40</v>
      </c>
      <c r="B4" s="5">
        <f>B2+B3</f>
        <v>162879.12</v>
      </c>
      <c r="C4" s="5">
        <f>C2+C3</f>
        <v>250000</v>
      </c>
      <c r="D4" s="5">
        <f>D2+D3</f>
        <v>342000</v>
      </c>
      <c r="E4" s="5">
        <f t="shared" si="0"/>
        <v>-87120.88</v>
      </c>
      <c r="F4" s="6">
        <f t="shared" si="1"/>
        <v>-0.34848351999999999</v>
      </c>
    </row>
    <row r="5" spans="1:6" x14ac:dyDescent="0.3">
      <c r="A5" t="s">
        <v>41</v>
      </c>
      <c r="B5" s="2">
        <f>SUMIF(Detaljert!A:A,"Varekostnader",Detaljert!D:D)</f>
        <v>36164.5</v>
      </c>
      <c r="C5" s="2">
        <f>SUMIF(Detaljert!A:A,"Varekostnader",Detaljert!E:E)</f>
        <v>54000</v>
      </c>
      <c r="D5" s="2">
        <f>SUMIF(Detaljert!A:A,"Varekostnader",Detaljert!F:F)</f>
        <v>124300</v>
      </c>
      <c r="E5" s="2">
        <f t="shared" si="0"/>
        <v>-17835.5</v>
      </c>
      <c r="F5" s="3">
        <f t="shared" si="1"/>
        <v>-0.33028703703703705</v>
      </c>
    </row>
    <row r="6" spans="1:6" x14ac:dyDescent="0.3">
      <c r="A6" t="s">
        <v>42</v>
      </c>
      <c r="B6" s="2">
        <f>SUMIF(Detaljert!A:A,"Lønnskostnader",Detaljert!D:D)</f>
        <v>0</v>
      </c>
      <c r="C6" s="2">
        <f>SUMIF(Detaljert!A:A,"Lønnskostnader",Detaljert!E:E)</f>
        <v>500</v>
      </c>
      <c r="D6" s="2">
        <f>SUMIF(Detaljert!A:A,"Lønnskostnader",Detaljert!F:F)</f>
        <v>500</v>
      </c>
      <c r="E6" s="2">
        <f t="shared" si="0"/>
        <v>-500</v>
      </c>
      <c r="F6" s="3">
        <f t="shared" si="1"/>
        <v>-1</v>
      </c>
    </row>
    <row r="7" spans="1:6" x14ac:dyDescent="0.3">
      <c r="A7" t="s">
        <v>43</v>
      </c>
      <c r="B7" s="2">
        <f>SUMIF(Detaljert!A:A,"Andre driftskostnader",Detaljert!D:D)</f>
        <v>126255.66</v>
      </c>
      <c r="C7" s="2">
        <f>SUMIF(Detaljert!A:A,"Andre driftskostnader",Detaljert!E:E)</f>
        <v>87400</v>
      </c>
      <c r="D7" s="2">
        <f>SUMIF(Detaljert!A:A,"Andre driftskostnader",Detaljert!F:F)</f>
        <v>91700</v>
      </c>
      <c r="E7" s="2">
        <f t="shared" si="0"/>
        <v>38855.660000000003</v>
      </c>
      <c r="F7" s="3">
        <f t="shared" si="1"/>
        <v>0.44457276887871855</v>
      </c>
    </row>
    <row r="8" spans="1:6" x14ac:dyDescent="0.3">
      <c r="A8" s="4" t="s">
        <v>44</v>
      </c>
      <c r="B8" s="5">
        <f>B5+B6+B7</f>
        <v>162420.16</v>
      </c>
      <c r="C8" s="5">
        <f>C5+C6+C7</f>
        <v>141900</v>
      </c>
      <c r="D8" s="5">
        <f>D5+D6+D7</f>
        <v>216500</v>
      </c>
      <c r="E8" s="5">
        <f t="shared" si="0"/>
        <v>20520.160000000003</v>
      </c>
      <c r="F8" s="6">
        <f t="shared" si="1"/>
        <v>0.14461000704721638</v>
      </c>
    </row>
    <row r="9" spans="1:6" x14ac:dyDescent="0.3">
      <c r="A9" s="4" t="s">
        <v>45</v>
      </c>
      <c r="B9" s="5">
        <f>B4-B8</f>
        <v>458.95999999999185</v>
      </c>
      <c r="C9" s="5">
        <f>C4-C8</f>
        <v>108100</v>
      </c>
      <c r="D9" s="5">
        <f>D4-D8</f>
        <v>125500</v>
      </c>
      <c r="E9" s="5">
        <f t="shared" si="0"/>
        <v>-107641.04000000001</v>
      </c>
      <c r="F9" s="6">
        <f t="shared" si="1"/>
        <v>-0.99575430157261802</v>
      </c>
    </row>
    <row r="10" spans="1:6" x14ac:dyDescent="0.3">
      <c r="A10" t="s">
        <v>46</v>
      </c>
      <c r="B10" s="2">
        <f>SUMIF(Detaljert!A:A,"Finans",Detaljert!D:D)</f>
        <v>9604</v>
      </c>
      <c r="C10" s="2">
        <f>SUMIF(Detaljert!A:A,"Finans",Detaljert!E:E)</f>
        <v>0</v>
      </c>
      <c r="D10" s="2">
        <f>SUMIF(Detaljert!A:A,"Finans",Detaljert!F:F)</f>
        <v>5000</v>
      </c>
      <c r="E10" s="2">
        <f t="shared" si="0"/>
        <v>9604</v>
      </c>
      <c r="F10" s="3" t="str">
        <f t="shared" si="1"/>
        <v/>
      </c>
    </row>
    <row r="11" spans="1:6" x14ac:dyDescent="0.3">
      <c r="A11" t="s">
        <v>47</v>
      </c>
      <c r="B11" s="2">
        <f>B10</f>
        <v>9604</v>
      </c>
      <c r="C11" s="2">
        <f>C10</f>
        <v>0</v>
      </c>
      <c r="D11" s="2">
        <f>D10</f>
        <v>5000</v>
      </c>
      <c r="E11" s="2">
        <f t="shared" si="0"/>
        <v>9604</v>
      </c>
      <c r="F11" s="3" t="str">
        <f t="shared" si="1"/>
        <v/>
      </c>
    </row>
    <row r="12" spans="1:6" x14ac:dyDescent="0.3">
      <c r="A12" s="4" t="s">
        <v>48</v>
      </c>
      <c r="B12" s="5">
        <f>B9+B11</f>
        <v>10062.959999999992</v>
      </c>
      <c r="C12" s="5">
        <f>C9+C11</f>
        <v>108100</v>
      </c>
      <c r="D12" s="5">
        <f>D9+D11</f>
        <v>130500</v>
      </c>
      <c r="E12" s="5">
        <f t="shared" si="0"/>
        <v>-98037.040000000008</v>
      </c>
      <c r="F12" s="6">
        <f t="shared" si="1"/>
        <v>-0.90691063829787244</v>
      </c>
    </row>
    <row r="14" spans="1:6" x14ac:dyDescent="0.3">
      <c r="A14" s="8" t="s">
        <v>49</v>
      </c>
      <c r="B14" s="9"/>
      <c r="C14" s="9"/>
      <c r="D14" s="9"/>
      <c r="E14" s="9"/>
      <c r="F14" s="9"/>
    </row>
  </sheetData>
  <mergeCells count="1">
    <mergeCell ref="A14:F1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2</vt:i4>
      </vt:variant>
    </vt:vector>
  </HeadingPairs>
  <TitlesOfParts>
    <vt:vector size="2" baseType="lpstr">
      <vt:lpstr>Detaljert</vt:lpstr>
      <vt:lpstr>Sammendrag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marita bakås gjersvold</cp:lastModifiedBy>
  <cp:lastPrinted>2026-03-08T19:21:13Z</cp:lastPrinted>
  <dcterms:created xsi:type="dcterms:W3CDTF">2026-02-03T10:05:16Z</dcterms:created>
  <dcterms:modified xsi:type="dcterms:W3CDTF">2026-03-08T21:19:56Z</dcterms:modified>
</cp:coreProperties>
</file>