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8e66246ffac04ca/Skrivebord/SIF/SIF 2023 Årsrapport/publiseres/"/>
    </mc:Choice>
  </mc:AlternateContent>
  <xr:revisionPtr revIDLastSave="0" documentId="8_{99D43860-678A-416C-B8BB-A9E9C3C4D26E}" xr6:coauthVersionLast="47" xr6:coauthVersionMax="47" xr10:uidLastSave="{00000000-0000-0000-0000-000000000000}"/>
  <bookViews>
    <workbookView xWindow="-108" yWindow="-108" windowWidth="23256" windowHeight="12456" tabRatio="753" xr2:uid="{CD819B83-6BB3-418C-9AF6-F4BDC1714118}"/>
  </bookViews>
  <sheets>
    <sheet name="Samlet budsjett" sheetId="4" r:id="rId1"/>
    <sheet name="E-sport" sheetId="13" r:id="rId2"/>
    <sheet name="Allidrett" sheetId="12" r:id="rId3"/>
    <sheet name="Håndball" sheetId="11" r:id="rId4"/>
    <sheet name="Tennis" sheetId="10" r:id="rId5"/>
    <sheet name="Bueskyting" sheetId="9" r:id="rId6"/>
    <sheet name="Fotball" sheetId="8" r:id="rId7"/>
    <sheet name="Svømming" sheetId="7" r:id="rId8"/>
    <sheet name="Futsal" sheetId="6" r:id="rId9"/>
    <sheet name="Tur og Friluftsliv" sheetId="5" r:id="rId10"/>
    <sheet name="Hovedlaget" sheetId="2" r:id="rId11"/>
    <sheet name="Prosjekt" sheetId="1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4" i="4" l="1"/>
  <c r="M185" i="4"/>
  <c r="M186" i="4"/>
  <c r="M183" i="4"/>
  <c r="M182" i="4" s="1"/>
  <c r="M167" i="4"/>
  <c r="M164" i="4"/>
  <c r="M162" i="4"/>
  <c r="M153" i="4"/>
  <c r="M101" i="4"/>
  <c r="M80" i="4"/>
  <c r="M53" i="4"/>
  <c r="M171" i="4"/>
  <c r="M172" i="4"/>
  <c r="M173" i="4"/>
  <c r="M174" i="4"/>
  <c r="M175" i="4"/>
  <c r="M176" i="4"/>
  <c r="M177" i="4"/>
  <c r="M178" i="4"/>
  <c r="M170" i="4"/>
  <c r="M168" i="4"/>
  <c r="M166" i="4"/>
  <c r="M165" i="4"/>
  <c r="M163" i="4"/>
  <c r="M155" i="4"/>
  <c r="M156" i="4"/>
  <c r="M157" i="4"/>
  <c r="M158" i="4"/>
  <c r="M159" i="4"/>
  <c r="M160" i="4"/>
  <c r="M154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02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81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54" i="4"/>
  <c r="M44" i="4"/>
  <c r="M45" i="4"/>
  <c r="M46" i="4"/>
  <c r="M47" i="4"/>
  <c r="M48" i="4"/>
  <c r="M43" i="4"/>
  <c r="M35" i="4"/>
  <c r="M36" i="4"/>
  <c r="M37" i="4"/>
  <c r="M38" i="4"/>
  <c r="M39" i="4"/>
  <c r="M40" i="4"/>
  <c r="M41" i="4"/>
  <c r="M34" i="4"/>
  <c r="M29" i="4"/>
  <c r="M30" i="4"/>
  <c r="M31" i="4"/>
  <c r="M32" i="4"/>
  <c r="M28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9" i="4"/>
  <c r="E17" i="14"/>
  <c r="E13" i="14" s="1"/>
  <c r="D9" i="14"/>
  <c r="D8" i="14" s="1"/>
  <c r="E9" i="14"/>
  <c r="E8" i="14" s="1"/>
  <c r="F8" i="14"/>
  <c r="F13" i="14"/>
  <c r="F18" i="14" s="1"/>
  <c r="F55" i="14"/>
  <c r="F34" i="14" s="1"/>
  <c r="F87" i="14" s="1"/>
  <c r="E34" i="14"/>
  <c r="E79" i="14"/>
  <c r="F79" i="14"/>
  <c r="G86" i="14"/>
  <c r="G85" i="14"/>
  <c r="G84" i="14"/>
  <c r="G83" i="14"/>
  <c r="G82" i="14"/>
  <c r="G81" i="14"/>
  <c r="G80" i="14"/>
  <c r="D79" i="14"/>
  <c r="C79" i="14"/>
  <c r="G78" i="14"/>
  <c r="G77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C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D34" i="14"/>
  <c r="C34" i="14"/>
  <c r="G33" i="14"/>
  <c r="G31" i="14"/>
  <c r="G29" i="14"/>
  <c r="G28" i="14"/>
  <c r="G27" i="14"/>
  <c r="G26" i="14"/>
  <c r="G25" i="14"/>
  <c r="G24" i="14"/>
  <c r="D22" i="14"/>
  <c r="C22" i="14"/>
  <c r="G16" i="14"/>
  <c r="G15" i="14"/>
  <c r="G14" i="14"/>
  <c r="D13" i="14"/>
  <c r="C13" i="14"/>
  <c r="G12" i="14"/>
  <c r="G11" i="14"/>
  <c r="G10" i="14"/>
  <c r="C9" i="14"/>
  <c r="C8" i="14" s="1"/>
  <c r="Q28" i="13"/>
  <c r="R28" i="13"/>
  <c r="S28" i="13"/>
  <c r="T28" i="13"/>
  <c r="U28" i="13"/>
  <c r="V28" i="13"/>
  <c r="W28" i="13"/>
  <c r="X28" i="13"/>
  <c r="Y28" i="13"/>
  <c r="Z28" i="13"/>
  <c r="AA28" i="13"/>
  <c r="P28" i="13"/>
  <c r="AB45" i="13"/>
  <c r="AB41" i="13"/>
  <c r="AA40" i="13"/>
  <c r="Z40" i="13"/>
  <c r="Y40" i="13"/>
  <c r="X40" i="13"/>
  <c r="W40" i="13"/>
  <c r="V40" i="13"/>
  <c r="U40" i="13"/>
  <c r="T40" i="13"/>
  <c r="S40" i="13"/>
  <c r="R40" i="13"/>
  <c r="Q40" i="13"/>
  <c r="P40" i="13"/>
  <c r="AB40" i="13" s="1"/>
  <c r="AB39" i="13"/>
  <c r="AB38" i="13"/>
  <c r="AB37" i="13"/>
  <c r="AB36" i="13"/>
  <c r="AB35" i="13"/>
  <c r="AB34" i="13"/>
  <c r="AB33" i="13"/>
  <c r="AA32" i="13"/>
  <c r="Z32" i="13"/>
  <c r="Y32" i="13"/>
  <c r="X32" i="13"/>
  <c r="W32" i="13"/>
  <c r="V32" i="13"/>
  <c r="U32" i="13"/>
  <c r="T32" i="13"/>
  <c r="S32" i="13"/>
  <c r="R32" i="13"/>
  <c r="Q32" i="13"/>
  <c r="P32" i="13"/>
  <c r="AB29" i="13"/>
  <c r="AB31" i="13"/>
  <c r="AB30" i="13"/>
  <c r="AB27" i="13"/>
  <c r="B27" i="13"/>
  <c r="L184" i="4" s="1"/>
  <c r="AB26" i="13"/>
  <c r="L73" i="4" s="1"/>
  <c r="AB25" i="13"/>
  <c r="AB24" i="13"/>
  <c r="AB23" i="13"/>
  <c r="L68" i="4" s="1"/>
  <c r="AA22" i="13"/>
  <c r="Z22" i="13"/>
  <c r="Y22" i="13"/>
  <c r="X22" i="13"/>
  <c r="W22" i="13"/>
  <c r="V22" i="13"/>
  <c r="U22" i="13"/>
  <c r="T22" i="13"/>
  <c r="S22" i="13"/>
  <c r="R22" i="13"/>
  <c r="Q22" i="13"/>
  <c r="P22" i="13"/>
  <c r="AB21" i="13"/>
  <c r="AB17" i="13"/>
  <c r="L48" i="4" s="1"/>
  <c r="AA16" i="13"/>
  <c r="Z16" i="13"/>
  <c r="Y16" i="13"/>
  <c r="X16" i="13"/>
  <c r="W16" i="13"/>
  <c r="V16" i="13"/>
  <c r="U16" i="13"/>
  <c r="T16" i="13"/>
  <c r="S16" i="13"/>
  <c r="R16" i="13"/>
  <c r="Q16" i="13"/>
  <c r="P16" i="13"/>
  <c r="AB15" i="13"/>
  <c r="AB14" i="13"/>
  <c r="L31" i="4" s="1"/>
  <c r="AB13" i="13"/>
  <c r="L28" i="4" s="1"/>
  <c r="AA12" i="13"/>
  <c r="Z12" i="13"/>
  <c r="Y12" i="13"/>
  <c r="Y18" i="13" s="1"/>
  <c r="X12" i="13"/>
  <c r="W12" i="13"/>
  <c r="V12" i="13"/>
  <c r="U12" i="13"/>
  <c r="T12" i="13"/>
  <c r="S12" i="13"/>
  <c r="R12" i="13"/>
  <c r="Q12" i="13"/>
  <c r="P12" i="13"/>
  <c r="AB11" i="13"/>
  <c r="AB10" i="13"/>
  <c r="L15" i="4" s="1"/>
  <c r="AB9" i="13"/>
  <c r="L10" i="4" s="1"/>
  <c r="AA8" i="13"/>
  <c r="AA18" i="13" s="1"/>
  <c r="Z8" i="13"/>
  <c r="Y8" i="13"/>
  <c r="X8" i="13"/>
  <c r="X18" i="13" s="1"/>
  <c r="W8" i="13"/>
  <c r="V8" i="13"/>
  <c r="U8" i="13"/>
  <c r="T8" i="13"/>
  <c r="T18" i="13" s="1"/>
  <c r="S8" i="13"/>
  <c r="S18" i="13" s="1"/>
  <c r="R8" i="13"/>
  <c r="Q8" i="13"/>
  <c r="P8" i="13"/>
  <c r="P18" i="13" s="1"/>
  <c r="M169" i="4" l="1"/>
  <c r="M179" i="4" s="1"/>
  <c r="M187" i="4" s="1"/>
  <c r="M8" i="4"/>
  <c r="M42" i="4"/>
  <c r="E87" i="14"/>
  <c r="F89" i="14"/>
  <c r="G79" i="14"/>
  <c r="E18" i="14"/>
  <c r="G55" i="14"/>
  <c r="D18" i="14"/>
  <c r="G34" i="14"/>
  <c r="D87" i="14"/>
  <c r="G8" i="14"/>
  <c r="C18" i="14"/>
  <c r="G30" i="14"/>
  <c r="G23" i="14"/>
  <c r="C87" i="14"/>
  <c r="G9" i="14"/>
  <c r="G32" i="14"/>
  <c r="L21" i="4"/>
  <c r="L63" i="4"/>
  <c r="L134" i="4"/>
  <c r="L165" i="4"/>
  <c r="L78" i="4"/>
  <c r="L85" i="4"/>
  <c r="L125" i="4"/>
  <c r="L166" i="4"/>
  <c r="L9" i="4"/>
  <c r="L19" i="4"/>
  <c r="L11" i="4"/>
  <c r="L41" i="4"/>
  <c r="L77" i="4"/>
  <c r="L69" i="4"/>
  <c r="L61" i="4"/>
  <c r="L100" i="4"/>
  <c r="L92" i="4"/>
  <c r="L84" i="4"/>
  <c r="L148" i="4"/>
  <c r="L140" i="4"/>
  <c r="L132" i="4"/>
  <c r="L124" i="4"/>
  <c r="L116" i="4"/>
  <c r="L108" i="4"/>
  <c r="L159" i="4"/>
  <c r="L168" i="4"/>
  <c r="L172" i="4"/>
  <c r="L79" i="4"/>
  <c r="L142" i="4"/>
  <c r="L174" i="4"/>
  <c r="L43" i="4"/>
  <c r="L93" i="4"/>
  <c r="L117" i="4"/>
  <c r="L173" i="4"/>
  <c r="W18" i="13"/>
  <c r="L26" i="4"/>
  <c r="L18" i="4"/>
  <c r="L40" i="4"/>
  <c r="L76" i="4"/>
  <c r="L60" i="4"/>
  <c r="L99" i="4"/>
  <c r="L91" i="4"/>
  <c r="L83" i="4"/>
  <c r="L147" i="4"/>
  <c r="L139" i="4"/>
  <c r="L131" i="4"/>
  <c r="L123" i="4"/>
  <c r="L115" i="4"/>
  <c r="L107" i="4"/>
  <c r="L158" i="4"/>
  <c r="L170" i="4"/>
  <c r="L171" i="4"/>
  <c r="L71" i="4"/>
  <c r="L150" i="4"/>
  <c r="L110" i="4"/>
  <c r="L34" i="4"/>
  <c r="L81" i="4"/>
  <c r="L133" i="4"/>
  <c r="L25" i="4"/>
  <c r="L39" i="4"/>
  <c r="L67" i="4"/>
  <c r="L59" i="4"/>
  <c r="L98" i="4"/>
  <c r="L90" i="4"/>
  <c r="L82" i="4"/>
  <c r="L146" i="4"/>
  <c r="L138" i="4"/>
  <c r="L130" i="4"/>
  <c r="L122" i="4"/>
  <c r="L114" i="4"/>
  <c r="L106" i="4"/>
  <c r="L157" i="4"/>
  <c r="L178" i="4"/>
  <c r="L183" i="4"/>
  <c r="L35" i="4"/>
  <c r="L86" i="4"/>
  <c r="L118" i="4"/>
  <c r="L20" i="4"/>
  <c r="L70" i="4"/>
  <c r="L149" i="4"/>
  <c r="L109" i="4"/>
  <c r="L75" i="4"/>
  <c r="R18" i="13"/>
  <c r="Z18" i="13"/>
  <c r="L24" i="4"/>
  <c r="L16" i="4"/>
  <c r="L32" i="4"/>
  <c r="L38" i="4"/>
  <c r="L45" i="4"/>
  <c r="L74" i="4"/>
  <c r="L66" i="4"/>
  <c r="L58" i="4"/>
  <c r="L97" i="4"/>
  <c r="L89" i="4"/>
  <c r="L102" i="4"/>
  <c r="L145" i="4"/>
  <c r="L137" i="4"/>
  <c r="L129" i="4"/>
  <c r="L121" i="4"/>
  <c r="L113" i="4"/>
  <c r="L105" i="4"/>
  <c r="L156" i="4"/>
  <c r="L177" i="4"/>
  <c r="L186" i="4"/>
  <c r="L13" i="4"/>
  <c r="L55" i="4"/>
  <c r="L126" i="4"/>
  <c r="L154" i="4"/>
  <c r="L12" i="4"/>
  <c r="L62" i="4"/>
  <c r="L141" i="4"/>
  <c r="L160" i="4"/>
  <c r="T42" i="13"/>
  <c r="L17" i="4"/>
  <c r="L46" i="4"/>
  <c r="Q18" i="13"/>
  <c r="L23" i="4"/>
  <c r="L37" i="4"/>
  <c r="L65" i="4"/>
  <c r="L57" i="4"/>
  <c r="L96" i="4"/>
  <c r="L88" i="4"/>
  <c r="L152" i="4"/>
  <c r="L144" i="4"/>
  <c r="L136" i="4"/>
  <c r="L128" i="4"/>
  <c r="L120" i="4"/>
  <c r="L112" i="4"/>
  <c r="L104" i="4"/>
  <c r="L155" i="4"/>
  <c r="L176" i="4"/>
  <c r="L185" i="4"/>
  <c r="L29" i="4"/>
  <c r="L94" i="4"/>
  <c r="L22" i="4"/>
  <c r="L14" i="4"/>
  <c r="L30" i="4"/>
  <c r="L36" i="4"/>
  <c r="L54" i="4"/>
  <c r="L72" i="4"/>
  <c r="L64" i="4"/>
  <c r="L56" i="4"/>
  <c r="L95" i="4"/>
  <c r="L87" i="4"/>
  <c r="L151" i="4"/>
  <c r="L143" i="4"/>
  <c r="L135" i="4"/>
  <c r="L127" i="4"/>
  <c r="L119" i="4"/>
  <c r="L111" i="4"/>
  <c r="L103" i="4"/>
  <c r="L163" i="4"/>
  <c r="L175" i="4"/>
  <c r="T46" i="13"/>
  <c r="U42" i="13"/>
  <c r="V42" i="13"/>
  <c r="U18" i="13"/>
  <c r="U46" i="13" s="1"/>
  <c r="Q42" i="13"/>
  <c r="Q46" i="13" s="1"/>
  <c r="Y42" i="13"/>
  <c r="Y46" i="13" s="1"/>
  <c r="W42" i="13"/>
  <c r="W46" i="13" s="1"/>
  <c r="AB32" i="13"/>
  <c r="V18" i="13"/>
  <c r="AB16" i="13"/>
  <c r="R42" i="13"/>
  <c r="R46" i="13" s="1"/>
  <c r="Z42" i="13"/>
  <c r="Z46" i="13" s="1"/>
  <c r="AB28" i="13"/>
  <c r="X42" i="13"/>
  <c r="X46" i="13"/>
  <c r="AB12" i="13"/>
  <c r="S42" i="13"/>
  <c r="S46" i="13" s="1"/>
  <c r="AA42" i="13"/>
  <c r="AA46" i="13" s="1"/>
  <c r="AB8" i="13"/>
  <c r="AB22" i="13"/>
  <c r="P42" i="13"/>
  <c r="L8" i="4" l="1"/>
  <c r="E89" i="14"/>
  <c r="D89" i="14"/>
  <c r="G87" i="14"/>
  <c r="G22" i="14"/>
  <c r="C89" i="14"/>
  <c r="V46" i="13"/>
  <c r="AB42" i="13"/>
  <c r="AB18" i="13"/>
  <c r="P46" i="13"/>
  <c r="G17" i="14" l="1"/>
  <c r="AB46" i="13"/>
  <c r="Q57" i="2"/>
  <c r="R57" i="2"/>
  <c r="S57" i="2"/>
  <c r="T57" i="2"/>
  <c r="U57" i="2"/>
  <c r="V57" i="2"/>
  <c r="W57" i="2"/>
  <c r="X57" i="2"/>
  <c r="Y57" i="2"/>
  <c r="Z57" i="2"/>
  <c r="AA57" i="2"/>
  <c r="P57" i="2"/>
  <c r="D184" i="4"/>
  <c r="D185" i="4"/>
  <c r="D186" i="4"/>
  <c r="D171" i="4"/>
  <c r="D172" i="4"/>
  <c r="D173" i="4"/>
  <c r="D174" i="4"/>
  <c r="D175" i="4"/>
  <c r="D177" i="4"/>
  <c r="D178" i="4"/>
  <c r="D170" i="4"/>
  <c r="D168" i="4"/>
  <c r="D166" i="4"/>
  <c r="D163" i="4"/>
  <c r="D155" i="4"/>
  <c r="D156" i="4"/>
  <c r="D157" i="4"/>
  <c r="D158" i="4"/>
  <c r="D159" i="4"/>
  <c r="D160" i="4"/>
  <c r="D154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1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4" i="4"/>
  <c r="D145" i="4"/>
  <c r="D146" i="4"/>
  <c r="D147" i="4"/>
  <c r="D148" i="4"/>
  <c r="D149" i="4"/>
  <c r="D150" i="4"/>
  <c r="D151" i="4"/>
  <c r="D152" i="4"/>
  <c r="D102" i="4"/>
  <c r="D82" i="4"/>
  <c r="D83" i="4"/>
  <c r="D84" i="4"/>
  <c r="D85" i="4"/>
  <c r="D86" i="4"/>
  <c r="D87" i="4"/>
  <c r="D88" i="4"/>
  <c r="D89" i="4"/>
  <c r="D90" i="4"/>
  <c r="D91" i="4"/>
  <c r="D92" i="4"/>
  <c r="D94" i="4"/>
  <c r="D95" i="4"/>
  <c r="D96" i="4"/>
  <c r="D97" i="4"/>
  <c r="D98" i="4"/>
  <c r="D100" i="4"/>
  <c r="D81" i="4"/>
  <c r="D55" i="4"/>
  <c r="D56" i="4"/>
  <c r="D57" i="4"/>
  <c r="D58" i="4"/>
  <c r="D59" i="4"/>
  <c r="D60" i="4"/>
  <c r="D61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54" i="4"/>
  <c r="D45" i="4"/>
  <c r="D46" i="4"/>
  <c r="D43" i="4"/>
  <c r="D35" i="4"/>
  <c r="D36" i="4"/>
  <c r="D37" i="4"/>
  <c r="D38" i="4"/>
  <c r="D39" i="4"/>
  <c r="D40" i="4"/>
  <c r="D41" i="4"/>
  <c r="D34" i="4"/>
  <c r="D29" i="4"/>
  <c r="D30" i="4"/>
  <c r="D31" i="4"/>
  <c r="D32" i="4"/>
  <c r="D28" i="4"/>
  <c r="D10" i="4"/>
  <c r="D12" i="4"/>
  <c r="D13" i="4"/>
  <c r="D14" i="4"/>
  <c r="D15" i="4"/>
  <c r="D16" i="4"/>
  <c r="D17" i="4"/>
  <c r="D18" i="4"/>
  <c r="D20" i="4"/>
  <c r="D21" i="4"/>
  <c r="D22" i="4"/>
  <c r="D23" i="4"/>
  <c r="D24" i="4"/>
  <c r="D25" i="4"/>
  <c r="D26" i="4"/>
  <c r="D9" i="4"/>
  <c r="AB42" i="12"/>
  <c r="D183" i="4" s="1"/>
  <c r="AA41" i="12"/>
  <c r="Z41" i="12"/>
  <c r="Y41" i="12"/>
  <c r="X41" i="12"/>
  <c r="W41" i="12"/>
  <c r="V41" i="12"/>
  <c r="U41" i="12"/>
  <c r="T41" i="12"/>
  <c r="S41" i="12"/>
  <c r="R41" i="12"/>
  <c r="Q41" i="12"/>
  <c r="P41" i="12"/>
  <c r="AB37" i="12"/>
  <c r="D176" i="4" s="1"/>
  <c r="AA36" i="12"/>
  <c r="Z36" i="12"/>
  <c r="Y36" i="12"/>
  <c r="X36" i="12"/>
  <c r="W36" i="12"/>
  <c r="V36" i="12"/>
  <c r="U36" i="12"/>
  <c r="T36" i="12"/>
  <c r="AB36" i="12" s="1"/>
  <c r="S36" i="12"/>
  <c r="R36" i="12"/>
  <c r="Q36" i="12"/>
  <c r="P36" i="12"/>
  <c r="AB35" i="12"/>
  <c r="AB34" i="12"/>
  <c r="D165" i="4" s="1"/>
  <c r="AA33" i="12"/>
  <c r="Z33" i="12"/>
  <c r="Y33" i="12"/>
  <c r="X33" i="12"/>
  <c r="W33" i="12"/>
  <c r="V33" i="12"/>
  <c r="U33" i="12"/>
  <c r="T33" i="12"/>
  <c r="S33" i="12"/>
  <c r="R33" i="12"/>
  <c r="Q33" i="12"/>
  <c r="P33" i="12"/>
  <c r="AB32" i="12"/>
  <c r="AB31" i="12"/>
  <c r="AB30" i="12"/>
  <c r="AB29" i="12"/>
  <c r="D143" i="4" s="1"/>
  <c r="AB28" i="12"/>
  <c r="D122" i="4" s="1"/>
  <c r="AB27" i="12"/>
  <c r="D120" i="4" s="1"/>
  <c r="AA26" i="12"/>
  <c r="Z26" i="12"/>
  <c r="Y26" i="12"/>
  <c r="X26" i="12"/>
  <c r="W26" i="12"/>
  <c r="V26" i="12"/>
  <c r="V38" i="12" s="1"/>
  <c r="U26" i="12"/>
  <c r="T26" i="12"/>
  <c r="S26" i="12"/>
  <c r="R26" i="12"/>
  <c r="Q26" i="12"/>
  <c r="P26" i="12"/>
  <c r="AB25" i="12"/>
  <c r="D99" i="4" s="1"/>
  <c r="AB24" i="12"/>
  <c r="D93" i="4" s="1"/>
  <c r="AA23" i="12"/>
  <c r="Z23" i="12"/>
  <c r="Y23" i="12"/>
  <c r="X23" i="12"/>
  <c r="W23" i="12"/>
  <c r="V23" i="12"/>
  <c r="U23" i="12"/>
  <c r="T23" i="12"/>
  <c r="S23" i="12"/>
  <c r="R23" i="12"/>
  <c r="Q23" i="12"/>
  <c r="P23" i="12"/>
  <c r="AB22" i="12"/>
  <c r="AB21" i="12"/>
  <c r="D62" i="4" s="1"/>
  <c r="AA20" i="12"/>
  <c r="Z20" i="12"/>
  <c r="Y20" i="12"/>
  <c r="Y38" i="12" s="1"/>
  <c r="X20" i="12"/>
  <c r="X38" i="12" s="1"/>
  <c r="W20" i="12"/>
  <c r="V20" i="12"/>
  <c r="U20" i="12"/>
  <c r="T20" i="12"/>
  <c r="S20" i="12"/>
  <c r="R20" i="12"/>
  <c r="Q20" i="12"/>
  <c r="Q38" i="12" s="1"/>
  <c r="P20" i="12"/>
  <c r="P38" i="12" s="1"/>
  <c r="AB19" i="12"/>
  <c r="AB15" i="12"/>
  <c r="D48" i="4" s="1"/>
  <c r="AB14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AB12" i="12"/>
  <c r="AB11" i="12"/>
  <c r="AB10" i="12"/>
  <c r="D19" i="4" s="1"/>
  <c r="AB9" i="12"/>
  <c r="D11" i="4" s="1"/>
  <c r="AA8" i="12"/>
  <c r="AA16" i="12" s="1"/>
  <c r="Z8" i="12"/>
  <c r="Z16" i="12" s="1"/>
  <c r="Y8" i="12"/>
  <c r="Y16" i="12" s="1"/>
  <c r="X8" i="12"/>
  <c r="X16" i="12" s="1"/>
  <c r="W8" i="12"/>
  <c r="W16" i="12" s="1"/>
  <c r="V8" i="12"/>
  <c r="V16" i="12" s="1"/>
  <c r="U8" i="12"/>
  <c r="U16" i="12" s="1"/>
  <c r="T8" i="12"/>
  <c r="T16" i="12" s="1"/>
  <c r="S8" i="12"/>
  <c r="S16" i="12" s="1"/>
  <c r="R8" i="12"/>
  <c r="R16" i="12" s="1"/>
  <c r="Q8" i="12"/>
  <c r="Q16" i="12" s="1"/>
  <c r="P8" i="12"/>
  <c r="P16" i="12" s="1"/>
  <c r="G13" i="14" l="1"/>
  <c r="Q43" i="12"/>
  <c r="Y43" i="12"/>
  <c r="AB41" i="12"/>
  <c r="AB13" i="12"/>
  <c r="AB33" i="12"/>
  <c r="R43" i="12"/>
  <c r="Z43" i="12"/>
  <c r="S38" i="12"/>
  <c r="AA38" i="12"/>
  <c r="W38" i="12"/>
  <c r="W43" i="12" s="1"/>
  <c r="S43" i="12"/>
  <c r="AA43" i="12"/>
  <c r="AB20" i="12"/>
  <c r="AB26" i="12"/>
  <c r="U38" i="12"/>
  <c r="U43" i="12" s="1"/>
  <c r="R38" i="12"/>
  <c r="Z38" i="12"/>
  <c r="V43" i="12"/>
  <c r="AB23" i="12"/>
  <c r="X43" i="12"/>
  <c r="T43" i="12"/>
  <c r="P43" i="12"/>
  <c r="AB16" i="12"/>
  <c r="AB8" i="12"/>
  <c r="T38" i="12"/>
  <c r="G89" i="14" l="1"/>
  <c r="G18" i="14"/>
  <c r="AB38" i="12"/>
  <c r="AB43" i="12"/>
  <c r="AB88" i="11"/>
  <c r="B88" i="11"/>
  <c r="AA87" i="11"/>
  <c r="Z87" i="11"/>
  <c r="Y87" i="11"/>
  <c r="X87" i="11"/>
  <c r="W87" i="11"/>
  <c r="V87" i="11"/>
  <c r="U87" i="11"/>
  <c r="T87" i="11"/>
  <c r="S87" i="11"/>
  <c r="R87" i="11"/>
  <c r="Q87" i="11"/>
  <c r="P87" i="11"/>
  <c r="AB83" i="11"/>
  <c r="AB82" i="11"/>
  <c r="AB81" i="11"/>
  <c r="AB80" i="11"/>
  <c r="AB79" i="11"/>
  <c r="AB78" i="11"/>
  <c r="AA77" i="11"/>
  <c r="Z77" i="11"/>
  <c r="Y77" i="11"/>
  <c r="X77" i="11"/>
  <c r="W77" i="11"/>
  <c r="V77" i="11"/>
  <c r="U77" i="11"/>
  <c r="T77" i="11"/>
  <c r="AB77" i="11" s="1"/>
  <c r="S77" i="11"/>
  <c r="R77" i="11"/>
  <c r="Q77" i="11"/>
  <c r="P77" i="11"/>
  <c r="AB76" i="11"/>
  <c r="AB75" i="11"/>
  <c r="AA74" i="11"/>
  <c r="Z74" i="11"/>
  <c r="Y74" i="11"/>
  <c r="X74" i="11"/>
  <c r="W74" i="11"/>
  <c r="V74" i="11"/>
  <c r="U74" i="11"/>
  <c r="T74" i="11"/>
  <c r="S74" i="11"/>
  <c r="R74" i="11"/>
  <c r="Q74" i="11"/>
  <c r="P74" i="11"/>
  <c r="AB73" i="11"/>
  <c r="AB72" i="11"/>
  <c r="AB71" i="11"/>
  <c r="AB70" i="11"/>
  <c r="AA69" i="11"/>
  <c r="Z69" i="11"/>
  <c r="Y69" i="11"/>
  <c r="X69" i="11"/>
  <c r="W69" i="11"/>
  <c r="V69" i="11"/>
  <c r="U69" i="11"/>
  <c r="T69" i="11"/>
  <c r="S69" i="11"/>
  <c r="R69" i="11"/>
  <c r="Q69" i="11"/>
  <c r="P69" i="11"/>
  <c r="AB68" i="11"/>
  <c r="AB67" i="11"/>
  <c r="AB66" i="11"/>
  <c r="AB65" i="11"/>
  <c r="AB64" i="11"/>
  <c r="AA63" i="11"/>
  <c r="Z63" i="11"/>
  <c r="Y63" i="11"/>
  <c r="X63" i="11"/>
  <c r="W63" i="11"/>
  <c r="V63" i="11"/>
  <c r="U63" i="11"/>
  <c r="T63" i="11"/>
  <c r="S63" i="11"/>
  <c r="R63" i="11"/>
  <c r="Q63" i="11"/>
  <c r="P63" i="11"/>
  <c r="AB62" i="11"/>
  <c r="AB61" i="11"/>
  <c r="AB60" i="11"/>
  <c r="AB59" i="11"/>
  <c r="AB58" i="11"/>
  <c r="AB57" i="11"/>
  <c r="AB56" i="11"/>
  <c r="AA55" i="11"/>
  <c r="Z55" i="11"/>
  <c r="Y55" i="11"/>
  <c r="X55" i="11"/>
  <c r="W55" i="11"/>
  <c r="V55" i="11"/>
  <c r="U55" i="11"/>
  <c r="T55" i="11"/>
  <c r="S55" i="11"/>
  <c r="R55" i="11"/>
  <c r="Q55" i="11"/>
  <c r="P55" i="11"/>
  <c r="AB54" i="11"/>
  <c r="AB53" i="11"/>
  <c r="AB52" i="11"/>
  <c r="AB51" i="11"/>
  <c r="AB50" i="11"/>
  <c r="AB49" i="11"/>
  <c r="AB48" i="11"/>
  <c r="AB47" i="11"/>
  <c r="AB46" i="11"/>
  <c r="AB45" i="11"/>
  <c r="AB44" i="11"/>
  <c r="AB43" i="11"/>
  <c r="AB42" i="11"/>
  <c r="AB41" i="11"/>
  <c r="AB40" i="11"/>
  <c r="AA39" i="11"/>
  <c r="Z39" i="11"/>
  <c r="Y39" i="11"/>
  <c r="Y84" i="11" s="1"/>
  <c r="X39" i="11"/>
  <c r="W39" i="11"/>
  <c r="V39" i="11"/>
  <c r="U39" i="11"/>
  <c r="T39" i="11"/>
  <c r="S39" i="11"/>
  <c r="R39" i="11"/>
  <c r="Q39" i="11"/>
  <c r="Q84" i="11" s="1"/>
  <c r="P39" i="11"/>
  <c r="AB38" i="11"/>
  <c r="AB34" i="11"/>
  <c r="AB33" i="11"/>
  <c r="AB32" i="11"/>
  <c r="AB31" i="11"/>
  <c r="AB30" i="11"/>
  <c r="AA29" i="11"/>
  <c r="Z29" i="11"/>
  <c r="Y29" i="11"/>
  <c r="X29" i="11"/>
  <c r="W29" i="11"/>
  <c r="V29" i="11"/>
  <c r="V35" i="11" s="1"/>
  <c r="U29" i="11"/>
  <c r="T29" i="11"/>
  <c r="S29" i="11"/>
  <c r="R29" i="11"/>
  <c r="Q29" i="11"/>
  <c r="P29" i="11"/>
  <c r="AB28" i="11"/>
  <c r="AB27" i="11"/>
  <c r="AA26" i="11"/>
  <c r="Z26" i="11"/>
  <c r="Y26" i="11"/>
  <c r="X26" i="11"/>
  <c r="W26" i="11"/>
  <c r="V26" i="11"/>
  <c r="U26" i="11"/>
  <c r="T26" i="11"/>
  <c r="S26" i="11"/>
  <c r="R26" i="11"/>
  <c r="Q26" i="11"/>
  <c r="P26" i="11"/>
  <c r="AB25" i="11"/>
  <c r="AB24" i="11"/>
  <c r="AB23" i="11"/>
  <c r="AB22" i="11"/>
  <c r="AB21" i="11"/>
  <c r="AB19" i="11"/>
  <c r="AB18" i="11"/>
  <c r="AB17" i="11"/>
  <c r="AB16" i="11"/>
  <c r="AB15" i="11"/>
  <c r="AB14" i="11"/>
  <c r="AB13" i="11"/>
  <c r="AB12" i="11"/>
  <c r="AA11" i="11"/>
  <c r="AA35" i="11" s="1"/>
  <c r="Z11" i="11"/>
  <c r="Y11" i="11"/>
  <c r="Y35" i="11" s="1"/>
  <c r="X11" i="11"/>
  <c r="X35" i="11" s="1"/>
  <c r="W11" i="11"/>
  <c r="V11" i="11"/>
  <c r="U11" i="11"/>
  <c r="T11" i="11"/>
  <c r="T35" i="11" s="1"/>
  <c r="S11" i="11"/>
  <c r="S35" i="11" s="1"/>
  <c r="R11" i="11"/>
  <c r="Q11" i="11"/>
  <c r="Q35" i="11" s="1"/>
  <c r="P11" i="11"/>
  <c r="K158" i="4"/>
  <c r="G158" i="4"/>
  <c r="I158" i="4"/>
  <c r="K159" i="4"/>
  <c r="G159" i="4"/>
  <c r="I159" i="4"/>
  <c r="K98" i="4"/>
  <c r="G98" i="4"/>
  <c r="I98" i="4"/>
  <c r="K90" i="4"/>
  <c r="G90" i="4"/>
  <c r="I90" i="4"/>
  <c r="K91" i="4"/>
  <c r="I91" i="4"/>
  <c r="K67" i="4"/>
  <c r="G67" i="4"/>
  <c r="I67" i="4"/>
  <c r="K66" i="4"/>
  <c r="G66" i="4"/>
  <c r="I66" i="4"/>
  <c r="K65" i="4"/>
  <c r="G65" i="4"/>
  <c r="I65" i="4"/>
  <c r="K63" i="4"/>
  <c r="G63" i="4"/>
  <c r="I63" i="4"/>
  <c r="K22" i="4"/>
  <c r="G22" i="4"/>
  <c r="I22" i="4"/>
  <c r="K21" i="4"/>
  <c r="G21" i="4"/>
  <c r="I21" i="4"/>
  <c r="K23" i="4"/>
  <c r="I23" i="4"/>
  <c r="K20" i="4"/>
  <c r="G20" i="4"/>
  <c r="I20" i="4"/>
  <c r="K14" i="4"/>
  <c r="G14" i="4"/>
  <c r="I14" i="4"/>
  <c r="I13" i="4"/>
  <c r="K13" i="4"/>
  <c r="G13" i="4"/>
  <c r="I184" i="4"/>
  <c r="I185" i="4"/>
  <c r="I186" i="4"/>
  <c r="I183" i="4"/>
  <c r="I171" i="4"/>
  <c r="I172" i="4"/>
  <c r="I173" i="4"/>
  <c r="I174" i="4"/>
  <c r="I175" i="4"/>
  <c r="I176" i="4"/>
  <c r="I177" i="4"/>
  <c r="I178" i="4"/>
  <c r="I170" i="4"/>
  <c r="I168" i="4"/>
  <c r="I166" i="4"/>
  <c r="I165" i="4"/>
  <c r="I163" i="4"/>
  <c r="I155" i="4"/>
  <c r="I156" i="4"/>
  <c r="I157" i="4"/>
  <c r="I160" i="4"/>
  <c r="I154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02" i="4"/>
  <c r="I82" i="4"/>
  <c r="I83" i="4"/>
  <c r="I84" i="4"/>
  <c r="I85" i="4"/>
  <c r="I86" i="4"/>
  <c r="I87" i="4"/>
  <c r="I88" i="4"/>
  <c r="I89" i="4"/>
  <c r="I92" i="4"/>
  <c r="I93" i="4"/>
  <c r="I94" i="4"/>
  <c r="I95" i="4"/>
  <c r="I96" i="4"/>
  <c r="I97" i="4"/>
  <c r="I99" i="4"/>
  <c r="I100" i="4"/>
  <c r="I81" i="4"/>
  <c r="I55" i="4"/>
  <c r="I56" i="4"/>
  <c r="I57" i="4"/>
  <c r="I58" i="4"/>
  <c r="I59" i="4"/>
  <c r="I60" i="4"/>
  <c r="I61" i="4"/>
  <c r="I62" i="4"/>
  <c r="I64" i="4"/>
  <c r="I68" i="4"/>
  <c r="I69" i="4"/>
  <c r="I70" i="4"/>
  <c r="I71" i="4"/>
  <c r="I72" i="4"/>
  <c r="I73" i="4"/>
  <c r="I74" i="4"/>
  <c r="I75" i="4"/>
  <c r="I76" i="4"/>
  <c r="I77" i="4"/>
  <c r="I78" i="4"/>
  <c r="I79" i="4"/>
  <c r="I54" i="4"/>
  <c r="I46" i="4"/>
  <c r="I43" i="4"/>
  <c r="I35" i="4"/>
  <c r="I36" i="4"/>
  <c r="I37" i="4"/>
  <c r="I38" i="4"/>
  <c r="I39" i="4"/>
  <c r="I40" i="4"/>
  <c r="I41" i="4"/>
  <c r="I34" i="4"/>
  <c r="I29" i="4"/>
  <c r="I30" i="4"/>
  <c r="I32" i="4"/>
  <c r="I10" i="4"/>
  <c r="I11" i="4"/>
  <c r="I15" i="4"/>
  <c r="I16" i="4"/>
  <c r="I17" i="4"/>
  <c r="I18" i="4"/>
  <c r="I19" i="4"/>
  <c r="I24" i="4"/>
  <c r="I25" i="4"/>
  <c r="I26" i="4"/>
  <c r="I9" i="4"/>
  <c r="I48" i="4"/>
  <c r="I45" i="4"/>
  <c r="I31" i="4"/>
  <c r="I28" i="4"/>
  <c r="R84" i="11" l="1"/>
  <c r="Z84" i="11"/>
  <c r="S84" i="11"/>
  <c r="S89" i="11" s="1"/>
  <c r="AA84" i="11"/>
  <c r="AA89" i="11" s="1"/>
  <c r="U35" i="11"/>
  <c r="U89" i="11" s="1"/>
  <c r="AB69" i="11"/>
  <c r="T84" i="11"/>
  <c r="T89" i="11" s="1"/>
  <c r="W35" i="11"/>
  <c r="W89" i="11" s="1"/>
  <c r="AB29" i="11"/>
  <c r="U84" i="11"/>
  <c r="AB55" i="11"/>
  <c r="AB87" i="11"/>
  <c r="AB11" i="11"/>
  <c r="V84" i="11"/>
  <c r="V89" i="11" s="1"/>
  <c r="AB63" i="11"/>
  <c r="Q89" i="11"/>
  <c r="Y89" i="11"/>
  <c r="AB26" i="11"/>
  <c r="W84" i="11"/>
  <c r="R35" i="11"/>
  <c r="R89" i="11" s="1"/>
  <c r="Z35" i="11"/>
  <c r="P84" i="11"/>
  <c r="X84" i="11"/>
  <c r="X89" i="11"/>
  <c r="AB74" i="11"/>
  <c r="P35" i="11"/>
  <c r="AB39" i="11"/>
  <c r="AB84" i="11" l="1"/>
  <c r="Z89" i="11"/>
  <c r="P89" i="11"/>
  <c r="AB89" i="11" s="1"/>
  <c r="AB35" i="11"/>
  <c r="K129" i="4"/>
  <c r="G129" i="4"/>
  <c r="F171" i="4"/>
  <c r="F170" i="4"/>
  <c r="F160" i="4"/>
  <c r="F109" i="4"/>
  <c r="F117" i="4"/>
  <c r="F125" i="4"/>
  <c r="F134" i="4"/>
  <c r="F141" i="4"/>
  <c r="F142" i="4"/>
  <c r="F150" i="4"/>
  <c r="F86" i="4"/>
  <c r="F96" i="4"/>
  <c r="F58" i="4"/>
  <c r="F70" i="4"/>
  <c r="F78" i="4"/>
  <c r="F36" i="4"/>
  <c r="F30" i="4"/>
  <c r="F16" i="4"/>
  <c r="F9" i="4"/>
  <c r="AB51" i="10"/>
  <c r="AB50" i="10"/>
  <c r="AB49" i="10"/>
  <c r="AB47" i="10"/>
  <c r="AB46" i="10"/>
  <c r="AA45" i="10"/>
  <c r="Z45" i="10"/>
  <c r="Y45" i="10"/>
  <c r="X45" i="10"/>
  <c r="W45" i="10"/>
  <c r="V45" i="10"/>
  <c r="U45" i="10"/>
  <c r="T45" i="10"/>
  <c r="S45" i="10"/>
  <c r="R45" i="10"/>
  <c r="Q45" i="10"/>
  <c r="P45" i="10"/>
  <c r="AB44" i="10"/>
  <c r="AB43" i="10"/>
  <c r="AB42" i="10"/>
  <c r="AB41" i="10"/>
  <c r="AB40" i="10"/>
  <c r="AB39" i="10"/>
  <c r="AB38" i="10"/>
  <c r="AB37" i="10"/>
  <c r="AB36" i="10"/>
  <c r="AB35" i="10"/>
  <c r="AC35" i="10" s="1"/>
  <c r="T34" i="10"/>
  <c r="AB34" i="10" s="1"/>
  <c r="AA33" i="10"/>
  <c r="Z33" i="10"/>
  <c r="Z48" i="10" s="1"/>
  <c r="Y33" i="10"/>
  <c r="X33" i="10"/>
  <c r="W33" i="10"/>
  <c r="V33" i="10"/>
  <c r="U33" i="10"/>
  <c r="S33" i="10"/>
  <c r="R33" i="10"/>
  <c r="Q33" i="10"/>
  <c r="P33" i="10"/>
  <c r="AB32" i="10"/>
  <c r="AB31" i="10"/>
  <c r="AC31" i="10" s="1"/>
  <c r="AB30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AB28" i="10"/>
  <c r="AB27" i="10"/>
  <c r="AB26" i="10"/>
  <c r="AB25" i="10"/>
  <c r="AB24" i="10"/>
  <c r="B24" i="10"/>
  <c r="F129" i="4" s="1"/>
  <c r="AA23" i="10"/>
  <c r="AA48" i="10" s="1"/>
  <c r="Z23" i="10"/>
  <c r="Y23" i="10"/>
  <c r="Y48" i="10" s="1"/>
  <c r="X23" i="10"/>
  <c r="W23" i="10"/>
  <c r="W48" i="10" s="1"/>
  <c r="V23" i="10"/>
  <c r="V48" i="10" s="1"/>
  <c r="U23" i="10"/>
  <c r="T23" i="10"/>
  <c r="S23" i="10"/>
  <c r="S48" i="10" s="1"/>
  <c r="R23" i="10"/>
  <c r="Q23" i="10"/>
  <c r="P23" i="10"/>
  <c r="AB22" i="10"/>
  <c r="AB18" i="10"/>
  <c r="AB17" i="10"/>
  <c r="F38" i="4" s="1"/>
  <c r="S16" i="10"/>
  <c r="R16" i="10"/>
  <c r="R15" i="10" s="1"/>
  <c r="Q16" i="10"/>
  <c r="Q15" i="10" s="1"/>
  <c r="P16" i="10"/>
  <c r="AA15" i="10"/>
  <c r="AA19" i="10" s="1"/>
  <c r="Z15" i="10"/>
  <c r="Y15" i="10"/>
  <c r="X15" i="10"/>
  <c r="W15" i="10"/>
  <c r="V15" i="10"/>
  <c r="U15" i="10"/>
  <c r="T15" i="10"/>
  <c r="S15" i="10"/>
  <c r="S19" i="10" s="1"/>
  <c r="P15" i="10"/>
  <c r="AB14" i="10"/>
  <c r="F31" i="4" s="1"/>
  <c r="AA13" i="10"/>
  <c r="Z13" i="10"/>
  <c r="Y13" i="10"/>
  <c r="X13" i="10"/>
  <c r="W13" i="10"/>
  <c r="V13" i="10"/>
  <c r="U13" i="10"/>
  <c r="T13" i="10"/>
  <c r="S13" i="10"/>
  <c r="R13" i="10"/>
  <c r="Q13" i="10"/>
  <c r="P13" i="10"/>
  <c r="AB12" i="10"/>
  <c r="AB11" i="10"/>
  <c r="F17" i="4" s="1"/>
  <c r="AB10" i="10"/>
  <c r="F15" i="4" s="1"/>
  <c r="AB9" i="10"/>
  <c r="F10" i="4" s="1"/>
  <c r="AA8" i="10"/>
  <c r="Z8" i="10"/>
  <c r="Z19" i="10" s="1"/>
  <c r="Y8" i="10"/>
  <c r="X8" i="10"/>
  <c r="W8" i="10"/>
  <c r="W19" i="10" s="1"/>
  <c r="V8" i="10"/>
  <c r="V19" i="10" s="1"/>
  <c r="U8" i="10"/>
  <c r="T8" i="10"/>
  <c r="T19" i="10" s="1"/>
  <c r="S8" i="10"/>
  <c r="R8" i="10"/>
  <c r="R19" i="10" s="1"/>
  <c r="Q8" i="10"/>
  <c r="P8" i="10"/>
  <c r="F69" i="4" l="1"/>
  <c r="F149" i="4"/>
  <c r="F116" i="4"/>
  <c r="F183" i="4"/>
  <c r="U48" i="10"/>
  <c r="F26" i="4"/>
  <c r="F12" i="4"/>
  <c r="F34" i="4"/>
  <c r="F43" i="4"/>
  <c r="F76" i="4"/>
  <c r="F68" i="4"/>
  <c r="F56" i="4"/>
  <c r="F94" i="4"/>
  <c r="F84" i="4"/>
  <c r="F148" i="4"/>
  <c r="F140" i="4"/>
  <c r="F132" i="4"/>
  <c r="F123" i="4"/>
  <c r="F115" i="4"/>
  <c r="F107" i="4"/>
  <c r="F156" i="4"/>
  <c r="F177" i="4"/>
  <c r="F186" i="4"/>
  <c r="F29" i="4"/>
  <c r="F57" i="4"/>
  <c r="F108" i="4"/>
  <c r="F25" i="4"/>
  <c r="F11" i="4"/>
  <c r="F41" i="4"/>
  <c r="F48" i="4"/>
  <c r="F75" i="4"/>
  <c r="F64" i="4"/>
  <c r="F55" i="4"/>
  <c r="F93" i="4"/>
  <c r="F83" i="4"/>
  <c r="F147" i="4"/>
  <c r="F139" i="4"/>
  <c r="F131" i="4"/>
  <c r="F122" i="4"/>
  <c r="F114" i="4"/>
  <c r="F106" i="4"/>
  <c r="F155" i="4"/>
  <c r="F176" i="4"/>
  <c r="F185" i="4"/>
  <c r="F124" i="4"/>
  <c r="F24" i="4"/>
  <c r="F62" i="4"/>
  <c r="F81" i="4"/>
  <c r="F92" i="4"/>
  <c r="F82" i="4"/>
  <c r="F146" i="4"/>
  <c r="F138" i="4"/>
  <c r="F130" i="4"/>
  <c r="F121" i="4"/>
  <c r="F113" i="4"/>
  <c r="F105" i="4"/>
  <c r="F163" i="4"/>
  <c r="F175" i="4"/>
  <c r="F184" i="4"/>
  <c r="AB15" i="10"/>
  <c r="AB29" i="10"/>
  <c r="F77" i="4"/>
  <c r="F133" i="4"/>
  <c r="F23" i="4"/>
  <c r="AB13" i="10"/>
  <c r="F40" i="4"/>
  <c r="Q19" i="10"/>
  <c r="AB23" i="10"/>
  <c r="AC48" i="10"/>
  <c r="F19" i="4"/>
  <c r="F28" i="4"/>
  <c r="F39" i="4"/>
  <c r="F45" i="4"/>
  <c r="F73" i="4"/>
  <c r="F61" i="4"/>
  <c r="F100" i="4"/>
  <c r="F89" i="4"/>
  <c r="F102" i="4"/>
  <c r="F145" i="4"/>
  <c r="F137" i="4"/>
  <c r="F128" i="4"/>
  <c r="F120" i="4"/>
  <c r="F112" i="4"/>
  <c r="F104" i="4"/>
  <c r="F165" i="4"/>
  <c r="F174" i="4"/>
  <c r="F159" i="4"/>
  <c r="F98" i="4"/>
  <c r="F90" i="4"/>
  <c r="F158" i="4"/>
  <c r="F91" i="4"/>
  <c r="F67" i="4"/>
  <c r="F66" i="4"/>
  <c r="F65" i="4"/>
  <c r="F63" i="4"/>
  <c r="F22" i="4"/>
  <c r="F21" i="4"/>
  <c r="F20" i="4"/>
  <c r="F14" i="4"/>
  <c r="F13" i="4"/>
  <c r="R48" i="10"/>
  <c r="F95" i="4"/>
  <c r="F178" i="4"/>
  <c r="AB8" i="10"/>
  <c r="Q48" i="10"/>
  <c r="F74" i="4"/>
  <c r="F18" i="4"/>
  <c r="F32" i="4"/>
  <c r="F54" i="4"/>
  <c r="F72" i="4"/>
  <c r="F60" i="4"/>
  <c r="F99" i="4"/>
  <c r="F88" i="4"/>
  <c r="F152" i="4"/>
  <c r="F144" i="4"/>
  <c r="F136" i="4"/>
  <c r="F127" i="4"/>
  <c r="F119" i="4"/>
  <c r="F111" i="4"/>
  <c r="F103" i="4"/>
  <c r="F166" i="4"/>
  <c r="F173" i="4"/>
  <c r="U19" i="10"/>
  <c r="U52" i="10" s="1"/>
  <c r="F35" i="4"/>
  <c r="F85" i="4"/>
  <c r="F157" i="4"/>
  <c r="X19" i="10"/>
  <c r="X52" i="10" s="1"/>
  <c r="F46" i="4"/>
  <c r="Y19" i="10"/>
  <c r="Y52" i="10" s="1"/>
  <c r="X48" i="10"/>
  <c r="AC27" i="10"/>
  <c r="AB45" i="10"/>
  <c r="F79" i="4"/>
  <c r="F71" i="4"/>
  <c r="F59" i="4"/>
  <c r="F97" i="4"/>
  <c r="F87" i="4"/>
  <c r="F151" i="4"/>
  <c r="F143" i="4"/>
  <c r="F135" i="4"/>
  <c r="F126" i="4"/>
  <c r="F118" i="4"/>
  <c r="F110" i="4"/>
  <c r="F154" i="4"/>
  <c r="F168" i="4"/>
  <c r="F172" i="4"/>
  <c r="S52" i="10"/>
  <c r="V52" i="10"/>
  <c r="W52" i="10"/>
  <c r="R52" i="10"/>
  <c r="AA52" i="10"/>
  <c r="Z52" i="10"/>
  <c r="P48" i="10"/>
  <c r="T33" i="10"/>
  <c r="AB33" i="10" s="1"/>
  <c r="AB16" i="10"/>
  <c r="F37" i="4" s="1"/>
  <c r="P19" i="10"/>
  <c r="F27" i="4" l="1"/>
  <c r="Q52" i="10"/>
  <c r="T48" i="10"/>
  <c r="T52" i="10" s="1"/>
  <c r="P52" i="10"/>
  <c r="AB19" i="10"/>
  <c r="AB48" i="10"/>
  <c r="AB52" i="10" l="1"/>
  <c r="AB53" i="10"/>
  <c r="E19" i="4" l="1"/>
  <c r="AB59" i="9"/>
  <c r="AB55" i="9"/>
  <c r="AB54" i="9"/>
  <c r="AB53" i="9"/>
  <c r="AA52" i="9"/>
  <c r="Z52" i="9"/>
  <c r="Y52" i="9"/>
  <c r="X52" i="9"/>
  <c r="W52" i="9"/>
  <c r="V52" i="9"/>
  <c r="U52" i="9"/>
  <c r="T52" i="9"/>
  <c r="S52" i="9"/>
  <c r="R52" i="9"/>
  <c r="Q52" i="9"/>
  <c r="P52" i="9"/>
  <c r="AB51" i="9"/>
  <c r="AB50" i="9"/>
  <c r="AB49" i="9"/>
  <c r="AB48" i="9"/>
  <c r="AB47" i="9"/>
  <c r="AB46" i="9"/>
  <c r="AB45" i="9"/>
  <c r="AB44" i="9"/>
  <c r="AB43" i="9"/>
  <c r="AB42" i="9"/>
  <c r="AB41" i="9"/>
  <c r="AA40" i="9"/>
  <c r="Z40" i="9"/>
  <c r="Z56" i="9" s="1"/>
  <c r="Y40" i="9"/>
  <c r="X40" i="9"/>
  <c r="W40" i="9"/>
  <c r="V40" i="9"/>
  <c r="U40" i="9"/>
  <c r="T40" i="9"/>
  <c r="S40" i="9"/>
  <c r="R40" i="9"/>
  <c r="R56" i="9" s="1"/>
  <c r="Q40" i="9"/>
  <c r="P40" i="9"/>
  <c r="AB39" i="9"/>
  <c r="AB38" i="9"/>
  <c r="AB37" i="9"/>
  <c r="B37" i="9"/>
  <c r="AB36" i="9"/>
  <c r="AB35" i="9"/>
  <c r="AA34" i="9"/>
  <c r="Z34" i="9"/>
  <c r="Y34" i="9"/>
  <c r="X34" i="9"/>
  <c r="W34" i="9"/>
  <c r="V34" i="9"/>
  <c r="U34" i="9"/>
  <c r="T34" i="9"/>
  <c r="S34" i="9"/>
  <c r="R34" i="9"/>
  <c r="Q34" i="9"/>
  <c r="P34" i="9"/>
  <c r="AB33" i="9"/>
  <c r="AB32" i="9"/>
  <c r="AB31" i="9"/>
  <c r="AB30" i="9"/>
  <c r="AB29" i="9"/>
  <c r="AA28" i="9"/>
  <c r="Z28" i="9"/>
  <c r="Y28" i="9"/>
  <c r="X28" i="9"/>
  <c r="X56" i="9" s="1"/>
  <c r="W28" i="9"/>
  <c r="V28" i="9"/>
  <c r="V56" i="9" s="1"/>
  <c r="U28" i="9"/>
  <c r="T28" i="9"/>
  <c r="S28" i="9"/>
  <c r="R28" i="9"/>
  <c r="Q28" i="9"/>
  <c r="P28" i="9"/>
  <c r="P56" i="9" s="1"/>
  <c r="AB27" i="9"/>
  <c r="AB23" i="9"/>
  <c r="AB22" i="9"/>
  <c r="AA21" i="9"/>
  <c r="Z21" i="9"/>
  <c r="Y21" i="9"/>
  <c r="X21" i="9"/>
  <c r="W21" i="9"/>
  <c r="V21" i="9"/>
  <c r="U21" i="9"/>
  <c r="T21" i="9"/>
  <c r="S21" i="9"/>
  <c r="R21" i="9"/>
  <c r="Q21" i="9"/>
  <c r="P21" i="9"/>
  <c r="AB20" i="9"/>
  <c r="B20" i="9"/>
  <c r="AA19" i="9"/>
  <c r="Z19" i="9"/>
  <c r="Y19" i="9"/>
  <c r="X19" i="9"/>
  <c r="W19" i="9"/>
  <c r="V19" i="9"/>
  <c r="U19" i="9"/>
  <c r="T19" i="9"/>
  <c r="S19" i="9"/>
  <c r="R19" i="9"/>
  <c r="Q19" i="9"/>
  <c r="P19" i="9"/>
  <c r="AB18" i="9"/>
  <c r="AB17" i="9"/>
  <c r="AA16" i="9"/>
  <c r="Z16" i="9"/>
  <c r="Z24" i="9" s="1"/>
  <c r="Y16" i="9"/>
  <c r="X16" i="9"/>
  <c r="W16" i="9"/>
  <c r="V16" i="9"/>
  <c r="U16" i="9"/>
  <c r="T16" i="9"/>
  <c r="S16" i="9"/>
  <c r="R16" i="9"/>
  <c r="R24" i="9" s="1"/>
  <c r="Q16" i="9"/>
  <c r="P16" i="9"/>
  <c r="AB15" i="9"/>
  <c r="AB14" i="9"/>
  <c r="AB13" i="9"/>
  <c r="E18" i="4" s="1"/>
  <c r="AB12" i="9"/>
  <c r="AB11" i="9"/>
  <c r="E15" i="4" s="1"/>
  <c r="AB10" i="9"/>
  <c r="E14" i="4" s="1"/>
  <c r="AB9" i="9"/>
  <c r="E10" i="4" s="1"/>
  <c r="AA8" i="9"/>
  <c r="Z8" i="9"/>
  <c r="Y8" i="9"/>
  <c r="X8" i="9"/>
  <c r="W8" i="9"/>
  <c r="W24" i="9" s="1"/>
  <c r="V8" i="9"/>
  <c r="U8" i="9"/>
  <c r="U24" i="9" s="1"/>
  <c r="T8" i="9"/>
  <c r="S8" i="9"/>
  <c r="R8" i="9"/>
  <c r="Q8" i="9"/>
  <c r="P8" i="9"/>
  <c r="B161" i="4"/>
  <c r="K71" i="4"/>
  <c r="G71" i="4"/>
  <c r="H71" i="4"/>
  <c r="K108" i="4"/>
  <c r="G108" i="4"/>
  <c r="K97" i="4"/>
  <c r="G97" i="4"/>
  <c r="H97" i="4"/>
  <c r="K75" i="4"/>
  <c r="G75" i="4"/>
  <c r="K64" i="4"/>
  <c r="G64" i="4"/>
  <c r="H183" i="4"/>
  <c r="H172" i="4"/>
  <c r="H178" i="4"/>
  <c r="H168" i="4"/>
  <c r="H154" i="4"/>
  <c r="H109" i="4"/>
  <c r="H111" i="4"/>
  <c r="H117" i="4"/>
  <c r="H119" i="4"/>
  <c r="H125" i="4"/>
  <c r="H127" i="4"/>
  <c r="H134" i="4"/>
  <c r="H136" i="4"/>
  <c r="H142" i="4"/>
  <c r="H150" i="4"/>
  <c r="H152" i="4"/>
  <c r="H86" i="4"/>
  <c r="H88" i="4"/>
  <c r="H96" i="4"/>
  <c r="H100" i="4"/>
  <c r="H59" i="4"/>
  <c r="H61" i="4"/>
  <c r="H73" i="4"/>
  <c r="H76" i="4"/>
  <c r="K25" i="4"/>
  <c r="G25" i="4"/>
  <c r="G18" i="4"/>
  <c r="K12" i="4"/>
  <c r="G12" i="4"/>
  <c r="H48" i="4"/>
  <c r="H35" i="4"/>
  <c r="H41" i="4"/>
  <c r="H29" i="4"/>
  <c r="H11" i="4"/>
  <c r="H16" i="4"/>
  <c r="AB96" i="8"/>
  <c r="AB95" i="8"/>
  <c r="AA94" i="8"/>
  <c r="Z94" i="8"/>
  <c r="Y94" i="8"/>
  <c r="X94" i="8"/>
  <c r="W94" i="8"/>
  <c r="V94" i="8"/>
  <c r="U94" i="8"/>
  <c r="T94" i="8"/>
  <c r="S94" i="8"/>
  <c r="R94" i="8"/>
  <c r="Q94" i="8"/>
  <c r="P94" i="8"/>
  <c r="AB90" i="8"/>
  <c r="AB89" i="8"/>
  <c r="AB88" i="8"/>
  <c r="AB87" i="8"/>
  <c r="AB86" i="8"/>
  <c r="AB85" i="8"/>
  <c r="AA83" i="8"/>
  <c r="Z83" i="8"/>
  <c r="Y83" i="8"/>
  <c r="X83" i="8"/>
  <c r="W83" i="8"/>
  <c r="V83" i="8"/>
  <c r="U83" i="8"/>
  <c r="T83" i="8"/>
  <c r="S83" i="8"/>
  <c r="Q83" i="8"/>
  <c r="P83" i="8"/>
  <c r="AB82" i="8"/>
  <c r="AB81" i="8"/>
  <c r="AA80" i="8"/>
  <c r="Z80" i="8"/>
  <c r="Y80" i="8"/>
  <c r="X80" i="8"/>
  <c r="W80" i="8"/>
  <c r="V80" i="8"/>
  <c r="U80" i="8"/>
  <c r="T80" i="8"/>
  <c r="S80" i="8"/>
  <c r="R80" i="8"/>
  <c r="Q80" i="8"/>
  <c r="P80" i="8"/>
  <c r="AB79" i="8"/>
  <c r="AB78" i="8"/>
  <c r="AB77" i="8"/>
  <c r="AB76" i="8"/>
  <c r="H157" i="4" s="1"/>
  <c r="AB75" i="8"/>
  <c r="AB74" i="8"/>
  <c r="AA73" i="8"/>
  <c r="Z73" i="8"/>
  <c r="Y73" i="8"/>
  <c r="X73" i="8"/>
  <c r="W73" i="8"/>
  <c r="U73" i="8"/>
  <c r="T73" i="8"/>
  <c r="S73" i="8"/>
  <c r="R73" i="8"/>
  <c r="Q73" i="8"/>
  <c r="P73" i="8"/>
  <c r="AB72" i="8"/>
  <c r="AB71" i="8"/>
  <c r="AB70" i="8"/>
  <c r="AB69" i="8"/>
  <c r="AB68" i="8"/>
  <c r="H144" i="4" s="1"/>
  <c r="AB67" i="8"/>
  <c r="AB66" i="8"/>
  <c r="AB65" i="8"/>
  <c r="AB64" i="8"/>
  <c r="AB63" i="8"/>
  <c r="AB62" i="8"/>
  <c r="AB60" i="8"/>
  <c r="AC59" i="8"/>
  <c r="AA59" i="8"/>
  <c r="Z59" i="8"/>
  <c r="Y59" i="8"/>
  <c r="X59" i="8"/>
  <c r="W59" i="8"/>
  <c r="V59" i="8"/>
  <c r="U59" i="8"/>
  <c r="T59" i="8"/>
  <c r="S59" i="8"/>
  <c r="R59" i="8"/>
  <c r="Q59" i="8"/>
  <c r="P59" i="8"/>
  <c r="AB54" i="8"/>
  <c r="AA53" i="8"/>
  <c r="Z53" i="8"/>
  <c r="Y53" i="8"/>
  <c r="X53" i="8"/>
  <c r="W53" i="8"/>
  <c r="V53" i="8"/>
  <c r="U53" i="8"/>
  <c r="T53" i="8"/>
  <c r="S53" i="8"/>
  <c r="R53" i="8"/>
  <c r="Q53" i="8"/>
  <c r="P53" i="8"/>
  <c r="AA51" i="8"/>
  <c r="Z51" i="8"/>
  <c r="Y51" i="8"/>
  <c r="X51" i="8"/>
  <c r="W51" i="8"/>
  <c r="V51" i="8"/>
  <c r="U51" i="8"/>
  <c r="T51" i="8"/>
  <c r="S51" i="8"/>
  <c r="R51" i="8"/>
  <c r="Q51" i="8"/>
  <c r="P51" i="8"/>
  <c r="AA49" i="8"/>
  <c r="AA52" i="8" s="1"/>
  <c r="Z49" i="8"/>
  <c r="Z52" i="8" s="1"/>
  <c r="Z47" i="8" s="1"/>
  <c r="Y49" i="8"/>
  <c r="Y52" i="8" s="1"/>
  <c r="X49" i="8"/>
  <c r="W49" i="8"/>
  <c r="W52" i="8" s="1"/>
  <c r="V49" i="8"/>
  <c r="V52" i="8" s="1"/>
  <c r="U49" i="8"/>
  <c r="U52" i="8" s="1"/>
  <c r="T49" i="8"/>
  <c r="T52" i="8" s="1"/>
  <c r="T47" i="8" s="1"/>
  <c r="S49" i="8"/>
  <c r="S52" i="8" s="1"/>
  <c r="R49" i="8"/>
  <c r="R52" i="8" s="1"/>
  <c r="R47" i="8" s="1"/>
  <c r="Q49" i="8"/>
  <c r="Q52" i="8" s="1"/>
  <c r="P49" i="8"/>
  <c r="AB48" i="8"/>
  <c r="AB46" i="8"/>
  <c r="AB45" i="8"/>
  <c r="AB40" i="8"/>
  <c r="AB37" i="8"/>
  <c r="AB36" i="8"/>
  <c r="B36" i="8"/>
  <c r="AA34" i="8"/>
  <c r="Z34" i="8"/>
  <c r="Y34" i="8"/>
  <c r="X34" i="8"/>
  <c r="W34" i="8"/>
  <c r="V34" i="8"/>
  <c r="U34" i="8"/>
  <c r="T34" i="8"/>
  <c r="S34" i="8"/>
  <c r="R34" i="8"/>
  <c r="Q34" i="8"/>
  <c r="P34" i="8"/>
  <c r="AB33" i="8"/>
  <c r="AB29" i="8"/>
  <c r="AB28" i="8"/>
  <c r="AB27" i="8"/>
  <c r="AA26" i="8"/>
  <c r="Z26" i="8"/>
  <c r="Y26" i="8"/>
  <c r="X26" i="8"/>
  <c r="W26" i="8"/>
  <c r="V26" i="8"/>
  <c r="U26" i="8"/>
  <c r="T26" i="8"/>
  <c r="S26" i="8"/>
  <c r="R26" i="8"/>
  <c r="Q26" i="8"/>
  <c r="P26" i="8"/>
  <c r="AB25" i="8"/>
  <c r="AB24" i="8"/>
  <c r="AB23" i="8"/>
  <c r="AA22" i="8"/>
  <c r="Z22" i="8"/>
  <c r="Z30" i="8" s="1"/>
  <c r="Y22" i="8"/>
  <c r="X22" i="8"/>
  <c r="W22" i="8"/>
  <c r="V22" i="8"/>
  <c r="U22" i="8"/>
  <c r="T22" i="8"/>
  <c r="T30" i="8" s="1"/>
  <c r="S22" i="8"/>
  <c r="R22" i="8"/>
  <c r="R30" i="8" s="1"/>
  <c r="Q22" i="8"/>
  <c r="P22" i="8"/>
  <c r="AB19" i="8"/>
  <c r="AB18" i="8"/>
  <c r="H18" i="4" s="1"/>
  <c r="AB16" i="8"/>
  <c r="AB15" i="8"/>
  <c r="AB14" i="8"/>
  <c r="B14" i="8"/>
  <c r="H108" i="4" s="1"/>
  <c r="AB13" i="8"/>
  <c r="AB11" i="8"/>
  <c r="AB10" i="8"/>
  <c r="AB8" i="8" s="1"/>
  <c r="AA8" i="8"/>
  <c r="AA30" i="8" s="1"/>
  <c r="Z8" i="8"/>
  <c r="Y8" i="8"/>
  <c r="Y30" i="8" s="1"/>
  <c r="X8" i="8"/>
  <c r="X30" i="8" s="1"/>
  <c r="W8" i="8"/>
  <c r="V8" i="8"/>
  <c r="U8" i="8"/>
  <c r="T8" i="8"/>
  <c r="S8" i="8"/>
  <c r="S30" i="8" s="1"/>
  <c r="R8" i="8"/>
  <c r="Q8" i="8"/>
  <c r="Q30" i="8" s="1"/>
  <c r="P8" i="8"/>
  <c r="P30" i="8" s="1"/>
  <c r="E158" i="4" l="1"/>
  <c r="E91" i="4"/>
  <c r="E67" i="4"/>
  <c r="E66" i="4"/>
  <c r="E65" i="4"/>
  <c r="E63" i="4"/>
  <c r="E21" i="4"/>
  <c r="E20" i="4"/>
  <c r="E159" i="4"/>
  <c r="E98" i="4"/>
  <c r="E90" i="4"/>
  <c r="E13" i="4"/>
  <c r="E129" i="4"/>
  <c r="E28" i="4"/>
  <c r="E27" i="4" s="1"/>
  <c r="E39" i="4"/>
  <c r="E45" i="4"/>
  <c r="E73" i="4"/>
  <c r="E61" i="4"/>
  <c r="E100" i="4"/>
  <c r="E89" i="4"/>
  <c r="E102" i="4"/>
  <c r="E145" i="4"/>
  <c r="E137" i="4"/>
  <c r="E128" i="4"/>
  <c r="E120" i="4"/>
  <c r="E112" i="4"/>
  <c r="E104" i="4"/>
  <c r="E165" i="4"/>
  <c r="E174" i="4"/>
  <c r="S47" i="8"/>
  <c r="AA47" i="8"/>
  <c r="AA91" i="8" s="1"/>
  <c r="AA97" i="8" s="1"/>
  <c r="H15" i="4"/>
  <c r="H34" i="4"/>
  <c r="H43" i="4"/>
  <c r="H74" i="4"/>
  <c r="H60" i="4"/>
  <c r="H99" i="4"/>
  <c r="H87" i="4"/>
  <c r="H151" i="4"/>
  <c r="H143" i="4"/>
  <c r="H135" i="4"/>
  <c r="H126" i="4"/>
  <c r="H118" i="4"/>
  <c r="H110" i="4"/>
  <c r="H160" i="4"/>
  <c r="H170" i="4"/>
  <c r="H171" i="4"/>
  <c r="V24" i="9"/>
  <c r="W56" i="9"/>
  <c r="E32" i="4"/>
  <c r="E38" i="4"/>
  <c r="E54" i="4"/>
  <c r="E72" i="4"/>
  <c r="E60" i="4"/>
  <c r="E99" i="4"/>
  <c r="E88" i="4"/>
  <c r="E152" i="4"/>
  <c r="E144" i="4"/>
  <c r="E136" i="4"/>
  <c r="E127" i="4"/>
  <c r="E119" i="4"/>
  <c r="E111" i="4"/>
  <c r="E103" i="4"/>
  <c r="E166" i="4"/>
  <c r="E173" i="4"/>
  <c r="E31" i="4"/>
  <c r="E97" i="4"/>
  <c r="E87" i="4"/>
  <c r="E126" i="4"/>
  <c r="E172" i="4"/>
  <c r="Q47" i="8"/>
  <c r="Q91" i="8" s="1"/>
  <c r="Q97" i="8" s="1"/>
  <c r="H9" i="4"/>
  <c r="H40" i="4"/>
  <c r="H46" i="4"/>
  <c r="H72" i="4"/>
  <c r="H58" i="4"/>
  <c r="H95" i="4"/>
  <c r="H85" i="4"/>
  <c r="H149" i="4"/>
  <c r="H141" i="4"/>
  <c r="H133" i="4"/>
  <c r="H124" i="4"/>
  <c r="H116" i="4"/>
  <c r="H107" i="4"/>
  <c r="H156" i="4"/>
  <c r="H177" i="4"/>
  <c r="H186" i="4"/>
  <c r="H75" i="4"/>
  <c r="AB8" i="9"/>
  <c r="X24" i="9"/>
  <c r="Q56" i="9"/>
  <c r="Y56" i="9"/>
  <c r="E16" i="4"/>
  <c r="E30" i="4"/>
  <c r="E36" i="4"/>
  <c r="E78" i="4"/>
  <c r="E70" i="4"/>
  <c r="E58" i="4"/>
  <c r="E96" i="4"/>
  <c r="E86" i="4"/>
  <c r="E150" i="4"/>
  <c r="E142" i="4"/>
  <c r="E134" i="4"/>
  <c r="E125" i="4"/>
  <c r="E117" i="4"/>
  <c r="E109" i="4"/>
  <c r="E160" i="4"/>
  <c r="E170" i="4"/>
  <c r="E171" i="4"/>
  <c r="W60" i="9"/>
  <c r="E79" i="4"/>
  <c r="E151" i="4"/>
  <c r="E110" i="4"/>
  <c r="E168" i="4"/>
  <c r="U47" i="8"/>
  <c r="Y47" i="8"/>
  <c r="Y91" i="8" s="1"/>
  <c r="H10" i="4"/>
  <c r="U30" i="8"/>
  <c r="H26" i="4"/>
  <c r="H28" i="4"/>
  <c r="H39" i="4"/>
  <c r="H45" i="4"/>
  <c r="H54" i="4"/>
  <c r="H70" i="4"/>
  <c r="H57" i="4"/>
  <c r="H94" i="4"/>
  <c r="H84" i="4"/>
  <c r="H148" i="4"/>
  <c r="H140" i="4"/>
  <c r="H132" i="4"/>
  <c r="H123" i="4"/>
  <c r="H115" i="4"/>
  <c r="H106" i="4"/>
  <c r="H155" i="4"/>
  <c r="H176" i="4"/>
  <c r="H185" i="4"/>
  <c r="Q24" i="9"/>
  <c r="Y24" i="9"/>
  <c r="E22" i="4"/>
  <c r="AB19" i="9"/>
  <c r="E9" i="4"/>
  <c r="E29" i="4"/>
  <c r="E35" i="4"/>
  <c r="E77" i="4"/>
  <c r="E69" i="4"/>
  <c r="E57" i="4"/>
  <c r="E95" i="4"/>
  <c r="E85" i="4"/>
  <c r="E149" i="4"/>
  <c r="E141" i="4"/>
  <c r="E133" i="4"/>
  <c r="E124" i="4"/>
  <c r="E116" i="4"/>
  <c r="E108" i="4"/>
  <c r="E157" i="4"/>
  <c r="E178" i="4"/>
  <c r="E183" i="4"/>
  <c r="AB51" i="8"/>
  <c r="E71" i="4"/>
  <c r="E143" i="4"/>
  <c r="E154" i="4"/>
  <c r="V30" i="8"/>
  <c r="AB26" i="8"/>
  <c r="R91" i="8"/>
  <c r="Z91" i="8"/>
  <c r="Z97" i="8" s="1"/>
  <c r="W47" i="8"/>
  <c r="AB94" i="8"/>
  <c r="H24" i="4"/>
  <c r="H32" i="4"/>
  <c r="H38" i="4"/>
  <c r="H12" i="4"/>
  <c r="H79" i="4"/>
  <c r="H69" i="4"/>
  <c r="H56" i="4"/>
  <c r="H93" i="4"/>
  <c r="H147" i="4"/>
  <c r="H139" i="4"/>
  <c r="H131" i="4"/>
  <c r="H122" i="4"/>
  <c r="H114" i="4"/>
  <c r="H105" i="4"/>
  <c r="H163" i="4"/>
  <c r="H175" i="4"/>
  <c r="H184" i="4"/>
  <c r="E23" i="4"/>
  <c r="S56" i="9"/>
  <c r="AA56" i="9"/>
  <c r="AB34" i="9"/>
  <c r="AB40" i="9"/>
  <c r="E26" i="4"/>
  <c r="E12" i="4"/>
  <c r="E34" i="4"/>
  <c r="E43" i="4"/>
  <c r="E76" i="4"/>
  <c r="E68" i="4"/>
  <c r="E56" i="4"/>
  <c r="E94" i="4"/>
  <c r="E84" i="4"/>
  <c r="E148" i="4"/>
  <c r="E140" i="4"/>
  <c r="E132" i="4"/>
  <c r="E123" i="4"/>
  <c r="E115" i="4"/>
  <c r="E107" i="4"/>
  <c r="E156" i="4"/>
  <c r="E177" i="4"/>
  <c r="E184" i="4"/>
  <c r="E17" i="4"/>
  <c r="E59" i="4"/>
  <c r="E135" i="4"/>
  <c r="H91" i="4"/>
  <c r="H67" i="4"/>
  <c r="H66" i="4"/>
  <c r="H65" i="4"/>
  <c r="H63" i="4"/>
  <c r="H22" i="4"/>
  <c r="H21" i="4"/>
  <c r="H23" i="4"/>
  <c r="H20" i="4"/>
  <c r="H14" i="4"/>
  <c r="H159" i="4"/>
  <c r="H98" i="4"/>
  <c r="H90" i="4"/>
  <c r="H13" i="4"/>
  <c r="H158" i="4"/>
  <c r="H129" i="4"/>
  <c r="AB80" i="8"/>
  <c r="AB91" i="8" s="1"/>
  <c r="H19" i="4"/>
  <c r="H31" i="4"/>
  <c r="H37" i="4"/>
  <c r="H78" i="4"/>
  <c r="H68" i="4"/>
  <c r="H55" i="4"/>
  <c r="H82" i="4"/>
  <c r="H146" i="4"/>
  <c r="H138" i="4"/>
  <c r="H130" i="4"/>
  <c r="H121" i="4"/>
  <c r="H113" i="4"/>
  <c r="H104" i="4"/>
  <c r="H165" i="4"/>
  <c r="H174" i="4"/>
  <c r="H64" i="4"/>
  <c r="S24" i="9"/>
  <c r="S60" i="9" s="1"/>
  <c r="AA24" i="9"/>
  <c r="AA60" i="9" s="1"/>
  <c r="AB21" i="9"/>
  <c r="AB52" i="9"/>
  <c r="E25" i="4"/>
  <c r="E11" i="4"/>
  <c r="E41" i="4"/>
  <c r="E48" i="4"/>
  <c r="E75" i="4"/>
  <c r="E64" i="4"/>
  <c r="E55" i="4"/>
  <c r="E93" i="4"/>
  <c r="E83" i="4"/>
  <c r="E147" i="4"/>
  <c r="E139" i="4"/>
  <c r="E131" i="4"/>
  <c r="E122" i="4"/>
  <c r="E114" i="4"/>
  <c r="E106" i="4"/>
  <c r="E155" i="4"/>
  <c r="E176" i="4"/>
  <c r="E185" i="4"/>
  <c r="E37" i="4"/>
  <c r="E118" i="4"/>
  <c r="W30" i="8"/>
  <c r="W97" i="8" s="1"/>
  <c r="S91" i="8"/>
  <c r="S97" i="8" s="1"/>
  <c r="AB49" i="8"/>
  <c r="H83" i="4" s="1"/>
  <c r="AB53" i="8"/>
  <c r="H17" i="4"/>
  <c r="H30" i="4"/>
  <c r="H36" i="4"/>
  <c r="H25" i="4"/>
  <c r="H77" i="4"/>
  <c r="H62" i="4"/>
  <c r="H81" i="4"/>
  <c r="H89" i="4"/>
  <c r="H102" i="4"/>
  <c r="H145" i="4"/>
  <c r="H137" i="4"/>
  <c r="H128" i="4"/>
  <c r="H120" i="4"/>
  <c r="H112" i="4"/>
  <c r="H103" i="4"/>
  <c r="H166" i="4"/>
  <c r="H173" i="4"/>
  <c r="T24" i="9"/>
  <c r="U56" i="9"/>
  <c r="U60" i="9" s="1"/>
  <c r="E24" i="4"/>
  <c r="E40" i="4"/>
  <c r="E46" i="4"/>
  <c r="E74" i="4"/>
  <c r="E62" i="4"/>
  <c r="E81" i="4"/>
  <c r="E92" i="4"/>
  <c r="E82" i="4"/>
  <c r="E146" i="4"/>
  <c r="E138" i="4"/>
  <c r="E130" i="4"/>
  <c r="E121" i="4"/>
  <c r="E113" i="4"/>
  <c r="E105" i="4"/>
  <c r="E163" i="4"/>
  <c r="E175" i="4"/>
  <c r="E186" i="4"/>
  <c r="AB28" i="9"/>
  <c r="Q60" i="9"/>
  <c r="Y60" i="9"/>
  <c r="X60" i="9"/>
  <c r="T60" i="9"/>
  <c r="R60" i="9"/>
  <c r="Z60" i="9"/>
  <c r="V60" i="9"/>
  <c r="T56" i="9"/>
  <c r="P24" i="9"/>
  <c r="AB16" i="9"/>
  <c r="H33" i="4"/>
  <c r="T97" i="8"/>
  <c r="U91" i="8"/>
  <c r="U97" i="8" s="1"/>
  <c r="R97" i="8"/>
  <c r="T91" i="8"/>
  <c r="Y97" i="8"/>
  <c r="W91" i="8"/>
  <c r="V47" i="8"/>
  <c r="V91" i="8" s="1"/>
  <c r="V97" i="8" s="1"/>
  <c r="P52" i="8"/>
  <c r="P47" i="8" s="1"/>
  <c r="P91" i="8" s="1"/>
  <c r="P97" i="8" s="1"/>
  <c r="X52" i="8"/>
  <c r="X47" i="8" s="1"/>
  <c r="X91" i="8" s="1"/>
  <c r="X97" i="8" s="1"/>
  <c r="AB22" i="8"/>
  <c r="AB30" i="8" s="1"/>
  <c r="AB97" i="8" s="1"/>
  <c r="H27" i="4" l="1"/>
  <c r="H8" i="4"/>
  <c r="AB56" i="9"/>
  <c r="AB24" i="9"/>
  <c r="P60" i="9"/>
  <c r="AB60" i="9" s="1"/>
  <c r="AB52" i="8"/>
  <c r="H92" i="4" s="1"/>
  <c r="K171" i="4" l="1"/>
  <c r="K104" i="4"/>
  <c r="K100" i="4"/>
  <c r="K96" i="4"/>
  <c r="K79" i="4"/>
  <c r="K72" i="4"/>
  <c r="K45" i="4"/>
  <c r="G45" i="4"/>
  <c r="K29" i="4"/>
  <c r="K30" i="4"/>
  <c r="G30" i="4"/>
  <c r="K186" i="4"/>
  <c r="K185" i="4"/>
  <c r="K184" i="4"/>
  <c r="K178" i="4"/>
  <c r="K177" i="4"/>
  <c r="K175" i="4"/>
  <c r="K173" i="4"/>
  <c r="K170" i="4"/>
  <c r="K168" i="4"/>
  <c r="K166" i="4"/>
  <c r="K163" i="4"/>
  <c r="K155" i="4"/>
  <c r="K156" i="4"/>
  <c r="K157" i="4"/>
  <c r="K103" i="4"/>
  <c r="K105" i="4"/>
  <c r="K106" i="4"/>
  <c r="K107" i="4"/>
  <c r="K109" i="4"/>
  <c r="K110" i="4"/>
  <c r="K111" i="4"/>
  <c r="K112" i="4"/>
  <c r="K113" i="4"/>
  <c r="K114" i="4"/>
  <c r="K115" i="4"/>
  <c r="K116" i="4"/>
  <c r="K117" i="4"/>
  <c r="K118" i="4"/>
  <c r="K119" i="4"/>
  <c r="K121" i="4"/>
  <c r="K123" i="4"/>
  <c r="K124" i="4"/>
  <c r="K125" i="4"/>
  <c r="K128" i="4"/>
  <c r="K130" i="4"/>
  <c r="K131" i="4"/>
  <c r="K132" i="4"/>
  <c r="K133" i="4"/>
  <c r="K135" i="4"/>
  <c r="K136" i="4"/>
  <c r="K137" i="4"/>
  <c r="K138" i="4"/>
  <c r="K139" i="4"/>
  <c r="K140" i="4"/>
  <c r="K141" i="4"/>
  <c r="K142" i="4"/>
  <c r="K145" i="4"/>
  <c r="K146" i="4"/>
  <c r="K147" i="4"/>
  <c r="K148" i="4"/>
  <c r="K149" i="4"/>
  <c r="K150" i="4"/>
  <c r="K151" i="4"/>
  <c r="K152" i="4"/>
  <c r="K102" i="4"/>
  <c r="K82" i="4"/>
  <c r="K83" i="4"/>
  <c r="K84" i="4"/>
  <c r="K85" i="4"/>
  <c r="K86" i="4"/>
  <c r="K87" i="4"/>
  <c r="K88" i="4"/>
  <c r="K89" i="4"/>
  <c r="K92" i="4"/>
  <c r="K94" i="4"/>
  <c r="K95" i="4"/>
  <c r="K81" i="4"/>
  <c r="K55" i="4"/>
  <c r="K56" i="4"/>
  <c r="K57" i="4"/>
  <c r="K58" i="4"/>
  <c r="K59" i="4"/>
  <c r="K60" i="4"/>
  <c r="K61" i="4"/>
  <c r="K68" i="4"/>
  <c r="K69" i="4"/>
  <c r="K76" i="4"/>
  <c r="K77" i="4"/>
  <c r="K78" i="4"/>
  <c r="K54" i="4"/>
  <c r="K32" i="4"/>
  <c r="K31" i="4"/>
  <c r="K15" i="4"/>
  <c r="K16" i="4"/>
  <c r="K17" i="4"/>
  <c r="K19" i="4"/>
  <c r="K24" i="4"/>
  <c r="K26" i="4"/>
  <c r="G19" i="4"/>
  <c r="G24" i="4"/>
  <c r="G186" i="4"/>
  <c r="G185" i="4"/>
  <c r="G184" i="4"/>
  <c r="G178" i="4"/>
  <c r="G172" i="4"/>
  <c r="G168" i="4"/>
  <c r="G167" i="4" s="1"/>
  <c r="G163" i="4"/>
  <c r="G162" i="4" s="1"/>
  <c r="G155" i="4"/>
  <c r="G156" i="4"/>
  <c r="G154" i="4"/>
  <c r="G103" i="4"/>
  <c r="G105" i="4"/>
  <c r="G107" i="4"/>
  <c r="G109" i="4"/>
  <c r="G110" i="4"/>
  <c r="G111" i="4"/>
  <c r="G112" i="4"/>
  <c r="G113" i="4"/>
  <c r="G115" i="4"/>
  <c r="G116" i="4"/>
  <c r="G117" i="4"/>
  <c r="G118" i="4"/>
  <c r="G119" i="4"/>
  <c r="G121" i="4"/>
  <c r="G122" i="4"/>
  <c r="G123" i="4"/>
  <c r="G124" i="4"/>
  <c r="G125" i="4"/>
  <c r="G126" i="4"/>
  <c r="G127" i="4"/>
  <c r="G128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5" i="4"/>
  <c r="G148" i="4"/>
  <c r="G149" i="4"/>
  <c r="G150" i="4"/>
  <c r="G151" i="4"/>
  <c r="G152" i="4"/>
  <c r="G102" i="4"/>
  <c r="G82" i="4"/>
  <c r="G85" i="4"/>
  <c r="G86" i="4"/>
  <c r="G87" i="4"/>
  <c r="G88" i="4"/>
  <c r="G94" i="4"/>
  <c r="G95" i="4"/>
  <c r="G55" i="4"/>
  <c r="G56" i="4"/>
  <c r="G57" i="4"/>
  <c r="G58" i="4"/>
  <c r="G59" i="4"/>
  <c r="G60" i="4"/>
  <c r="G61" i="4"/>
  <c r="G69" i="4"/>
  <c r="G77" i="4"/>
  <c r="G78" i="4"/>
  <c r="G54" i="4"/>
  <c r="G46" i="4"/>
  <c r="G43" i="4"/>
  <c r="G35" i="4"/>
  <c r="G36" i="4"/>
  <c r="G37" i="4"/>
  <c r="G38" i="4"/>
  <c r="G39" i="4"/>
  <c r="G40" i="4"/>
  <c r="G34" i="4"/>
  <c r="G16" i="4"/>
  <c r="G26" i="4"/>
  <c r="G9" i="4"/>
  <c r="K46" i="4"/>
  <c r="K43" i="4"/>
  <c r="K41" i="4"/>
  <c r="K40" i="4"/>
  <c r="K39" i="4"/>
  <c r="K38" i="4"/>
  <c r="K37" i="4"/>
  <c r="K36" i="4"/>
  <c r="K35" i="4"/>
  <c r="K34" i="4"/>
  <c r="AB79" i="7"/>
  <c r="G183" i="4" s="1"/>
  <c r="AA78" i="7"/>
  <c r="Z78" i="7"/>
  <c r="Y78" i="7"/>
  <c r="X78" i="7"/>
  <c r="W78" i="7"/>
  <c r="V78" i="7"/>
  <c r="U78" i="7"/>
  <c r="T78" i="7"/>
  <c r="S78" i="7"/>
  <c r="R78" i="7"/>
  <c r="Q78" i="7"/>
  <c r="P78" i="7"/>
  <c r="AB74" i="7"/>
  <c r="G177" i="4" s="1"/>
  <c r="AB73" i="7"/>
  <c r="G176" i="4" s="1"/>
  <c r="AB72" i="7"/>
  <c r="G175" i="4" s="1"/>
  <c r="AB71" i="7"/>
  <c r="G174" i="4" s="1"/>
  <c r="AB70" i="7"/>
  <c r="G173" i="4" s="1"/>
  <c r="AB69" i="7"/>
  <c r="G171" i="4" s="1"/>
  <c r="AB68" i="7"/>
  <c r="G170" i="4" s="1"/>
  <c r="AA67" i="7"/>
  <c r="Z67" i="7"/>
  <c r="Y67" i="7"/>
  <c r="X67" i="7"/>
  <c r="W67" i="7"/>
  <c r="V67" i="7"/>
  <c r="U67" i="7"/>
  <c r="T67" i="7"/>
  <c r="S67" i="7"/>
  <c r="R67" i="7"/>
  <c r="Q67" i="7"/>
  <c r="P67" i="7"/>
  <c r="AB66" i="7"/>
  <c r="AB65" i="7"/>
  <c r="G166" i="4" s="1"/>
  <c r="AB64" i="7"/>
  <c r="G165" i="4" s="1"/>
  <c r="Y63" i="7"/>
  <c r="X63" i="7"/>
  <c r="W63" i="7"/>
  <c r="V63" i="7"/>
  <c r="U63" i="7"/>
  <c r="T63" i="7"/>
  <c r="S63" i="7"/>
  <c r="R63" i="7"/>
  <c r="Q63" i="7"/>
  <c r="P63" i="7"/>
  <c r="AB62" i="7"/>
  <c r="AB61" i="7"/>
  <c r="AB60" i="7"/>
  <c r="G160" i="4" s="1"/>
  <c r="AB59" i="7"/>
  <c r="G157" i="4" s="1"/>
  <c r="AA58" i="7"/>
  <c r="Z58" i="7"/>
  <c r="Y58" i="7"/>
  <c r="X58" i="7"/>
  <c r="W58" i="7"/>
  <c r="V58" i="7"/>
  <c r="U58" i="7"/>
  <c r="T58" i="7"/>
  <c r="S58" i="7"/>
  <c r="R58" i="7"/>
  <c r="Q58" i="7"/>
  <c r="P58" i="7"/>
  <c r="AB57" i="7"/>
  <c r="G147" i="4" s="1"/>
  <c r="AB56" i="7"/>
  <c r="G146" i="4" s="1"/>
  <c r="AB55" i="7"/>
  <c r="G144" i="4" s="1"/>
  <c r="AB54" i="7"/>
  <c r="G120" i="4" s="1"/>
  <c r="AB53" i="7"/>
  <c r="G114" i="4" s="1"/>
  <c r="AB52" i="7"/>
  <c r="G106" i="4" s="1"/>
  <c r="AB51" i="7"/>
  <c r="G104" i="4" s="1"/>
  <c r="AA50" i="7"/>
  <c r="Z50" i="7"/>
  <c r="Y50" i="7"/>
  <c r="X50" i="7"/>
  <c r="W50" i="7"/>
  <c r="V50" i="7"/>
  <c r="U50" i="7"/>
  <c r="T50" i="7"/>
  <c r="S50" i="7"/>
  <c r="R50" i="7"/>
  <c r="Q50" i="7"/>
  <c r="P50" i="7"/>
  <c r="AB49" i="7"/>
  <c r="G100" i="4" s="1"/>
  <c r="AB48" i="7"/>
  <c r="G99" i="4" s="1"/>
  <c r="AB47" i="7"/>
  <c r="G96" i="4" s="1"/>
  <c r="AB46" i="7"/>
  <c r="G93" i="4" s="1"/>
  <c r="AB45" i="7"/>
  <c r="G92" i="4" s="1"/>
  <c r="AB44" i="7"/>
  <c r="G91" i="4" s="1"/>
  <c r="AB43" i="7"/>
  <c r="G89" i="4" s="1"/>
  <c r="AB42" i="7"/>
  <c r="G84" i="4" s="1"/>
  <c r="AB41" i="7"/>
  <c r="G83" i="4" s="1"/>
  <c r="AB40" i="7"/>
  <c r="G81" i="4" s="1"/>
  <c r="AA39" i="7"/>
  <c r="Z39" i="7"/>
  <c r="Y39" i="7"/>
  <c r="X39" i="7"/>
  <c r="W39" i="7"/>
  <c r="V39" i="7"/>
  <c r="U39" i="7"/>
  <c r="T39" i="7"/>
  <c r="S39" i="7"/>
  <c r="R39" i="7"/>
  <c r="Q39" i="7"/>
  <c r="P39" i="7"/>
  <c r="AB38" i="7"/>
  <c r="G79" i="4" s="1"/>
  <c r="AB37" i="7"/>
  <c r="G76" i="4" s="1"/>
  <c r="AB36" i="7"/>
  <c r="G74" i="4" s="1"/>
  <c r="AB35" i="7"/>
  <c r="G73" i="4" s="1"/>
  <c r="AB34" i="7"/>
  <c r="G72" i="4" s="1"/>
  <c r="AB33" i="7"/>
  <c r="G70" i="4" s="1"/>
  <c r="AB32" i="7"/>
  <c r="G68" i="4" s="1"/>
  <c r="AB31" i="7"/>
  <c r="G62" i="4" s="1"/>
  <c r="AA30" i="7"/>
  <c r="Z30" i="7"/>
  <c r="Y30" i="7"/>
  <c r="X30" i="7"/>
  <c r="W30" i="7"/>
  <c r="V30" i="7"/>
  <c r="U30" i="7"/>
  <c r="T30" i="7"/>
  <c r="S30" i="7"/>
  <c r="R30" i="7"/>
  <c r="Q30" i="7"/>
  <c r="P30" i="7"/>
  <c r="AB29" i="7"/>
  <c r="AB25" i="7"/>
  <c r="G48" i="4" s="1"/>
  <c r="AB24" i="7"/>
  <c r="AB23" i="7"/>
  <c r="AA22" i="7"/>
  <c r="Z22" i="7"/>
  <c r="Y22" i="7"/>
  <c r="X22" i="7"/>
  <c r="W22" i="7"/>
  <c r="V22" i="7"/>
  <c r="U22" i="7"/>
  <c r="T22" i="7"/>
  <c r="S22" i="7"/>
  <c r="R22" i="7"/>
  <c r="Q22" i="7"/>
  <c r="P22" i="7"/>
  <c r="AB21" i="7"/>
  <c r="G41" i="4" s="1"/>
  <c r="AA20" i="7"/>
  <c r="Z20" i="7"/>
  <c r="Y20" i="7"/>
  <c r="X20" i="7"/>
  <c r="W20" i="7"/>
  <c r="V20" i="7"/>
  <c r="U20" i="7"/>
  <c r="T20" i="7"/>
  <c r="S20" i="7"/>
  <c r="R20" i="7"/>
  <c r="Q20" i="7"/>
  <c r="P20" i="7"/>
  <c r="AB19" i="7"/>
  <c r="G32" i="4" s="1"/>
  <c r="AB18" i="7"/>
  <c r="AB17" i="7"/>
  <c r="G31" i="4" s="1"/>
  <c r="AB16" i="7"/>
  <c r="G29" i="4" s="1"/>
  <c r="AB15" i="7"/>
  <c r="G28" i="4" s="1"/>
  <c r="AA14" i="7"/>
  <c r="Z14" i="7"/>
  <c r="Y14" i="7"/>
  <c r="X14" i="7"/>
  <c r="W14" i="7"/>
  <c r="V14" i="7"/>
  <c r="U14" i="7"/>
  <c r="T14" i="7"/>
  <c r="S14" i="7"/>
  <c r="R14" i="7"/>
  <c r="Q14" i="7"/>
  <c r="P14" i="7"/>
  <c r="AB13" i="7"/>
  <c r="G23" i="4" s="1"/>
  <c r="AB12" i="7"/>
  <c r="G17" i="4" s="1"/>
  <c r="AB11" i="7"/>
  <c r="G15" i="4" s="1"/>
  <c r="AB10" i="7"/>
  <c r="G11" i="4" s="1"/>
  <c r="AB9" i="7"/>
  <c r="G10" i="4" s="1"/>
  <c r="AA8" i="7"/>
  <c r="Z8" i="7"/>
  <c r="Y8" i="7"/>
  <c r="X8" i="7"/>
  <c r="W8" i="7"/>
  <c r="V8" i="7"/>
  <c r="U8" i="7"/>
  <c r="T8" i="7"/>
  <c r="S8" i="7"/>
  <c r="R8" i="7"/>
  <c r="Q8" i="7"/>
  <c r="P8" i="7"/>
  <c r="K9" i="4"/>
  <c r="AB41" i="6"/>
  <c r="AB37" i="6"/>
  <c r="AB36" i="6"/>
  <c r="AA35" i="6"/>
  <c r="Z35" i="6"/>
  <c r="Y35" i="6"/>
  <c r="X35" i="6"/>
  <c r="W35" i="6"/>
  <c r="V35" i="6"/>
  <c r="U35" i="6"/>
  <c r="T35" i="6"/>
  <c r="S35" i="6"/>
  <c r="R35" i="6"/>
  <c r="Q35" i="6"/>
  <c r="P35" i="6"/>
  <c r="AB34" i="6"/>
  <c r="AB33" i="6"/>
  <c r="AB32" i="6"/>
  <c r="AB31" i="6"/>
  <c r="AB30" i="6"/>
  <c r="AA29" i="6"/>
  <c r="Z29" i="6"/>
  <c r="Y29" i="6"/>
  <c r="X29" i="6"/>
  <c r="W29" i="6"/>
  <c r="V29" i="6"/>
  <c r="U29" i="6"/>
  <c r="T29" i="6"/>
  <c r="S29" i="6"/>
  <c r="R29" i="6"/>
  <c r="Q29" i="6"/>
  <c r="P29" i="6"/>
  <c r="AB28" i="6"/>
  <c r="AB27" i="6"/>
  <c r="AA26" i="6"/>
  <c r="Z26" i="6"/>
  <c r="Y26" i="6"/>
  <c r="X26" i="6"/>
  <c r="W26" i="6"/>
  <c r="V26" i="6"/>
  <c r="U26" i="6"/>
  <c r="T26" i="6"/>
  <c r="S26" i="6"/>
  <c r="R26" i="6"/>
  <c r="Q26" i="6"/>
  <c r="P26" i="6"/>
  <c r="AB25" i="6"/>
  <c r="B25" i="6"/>
  <c r="AB24" i="6"/>
  <c r="AB23" i="6"/>
  <c r="AA22" i="6"/>
  <c r="Z22" i="6"/>
  <c r="Y22" i="6"/>
  <c r="X22" i="6"/>
  <c r="W22" i="6"/>
  <c r="V22" i="6"/>
  <c r="U22" i="6"/>
  <c r="T22" i="6"/>
  <c r="S22" i="6"/>
  <c r="R22" i="6"/>
  <c r="Q22" i="6"/>
  <c r="P22" i="6"/>
  <c r="AB21" i="6"/>
  <c r="AB20" i="6"/>
  <c r="AA19" i="6"/>
  <c r="AA38" i="6" s="1"/>
  <c r="Z19" i="6"/>
  <c r="Y19" i="6"/>
  <c r="X19" i="6"/>
  <c r="W19" i="6"/>
  <c r="V19" i="6"/>
  <c r="U19" i="6"/>
  <c r="T19" i="6"/>
  <c r="T38" i="6" s="1"/>
  <c r="S19" i="6"/>
  <c r="S38" i="6" s="1"/>
  <c r="R19" i="6"/>
  <c r="Q19" i="6"/>
  <c r="P19" i="6"/>
  <c r="AB18" i="6"/>
  <c r="AA15" i="6"/>
  <c r="T15" i="6"/>
  <c r="S15" i="6"/>
  <c r="Q15" i="6"/>
  <c r="AB14" i="6"/>
  <c r="AA13" i="6"/>
  <c r="Z13" i="6"/>
  <c r="Y13" i="6"/>
  <c r="Y15" i="6" s="1"/>
  <c r="X13" i="6"/>
  <c r="W13" i="6"/>
  <c r="W15" i="6" s="1"/>
  <c r="V13" i="6"/>
  <c r="U13" i="6"/>
  <c r="T13" i="6"/>
  <c r="S13" i="6"/>
  <c r="R13" i="6"/>
  <c r="P13" i="6"/>
  <c r="AB12" i="6"/>
  <c r="AB11" i="6"/>
  <c r="AB10" i="6"/>
  <c r="B10" i="6"/>
  <c r="J104" i="4" s="1"/>
  <c r="AB9" i="6"/>
  <c r="AA8" i="6"/>
  <c r="Z8" i="6"/>
  <c r="Z15" i="6" s="1"/>
  <c r="Y8" i="6"/>
  <c r="X8" i="6"/>
  <c r="X15" i="6" s="1"/>
  <c r="W8" i="6"/>
  <c r="V8" i="6"/>
  <c r="V15" i="6" s="1"/>
  <c r="U8" i="6"/>
  <c r="U15" i="6" s="1"/>
  <c r="T8" i="6"/>
  <c r="S8" i="6"/>
  <c r="R8" i="6"/>
  <c r="R15" i="6" s="1"/>
  <c r="Q8" i="6"/>
  <c r="P8" i="6"/>
  <c r="J15" i="4" l="1"/>
  <c r="J54" i="4"/>
  <c r="J69" i="4"/>
  <c r="J95" i="4"/>
  <c r="J85" i="4"/>
  <c r="J148" i="4"/>
  <c r="J140" i="4"/>
  <c r="J132" i="4"/>
  <c r="J123" i="4"/>
  <c r="J115" i="4"/>
  <c r="J106" i="4"/>
  <c r="J160" i="4"/>
  <c r="J174" i="4"/>
  <c r="J186" i="4"/>
  <c r="J99" i="4"/>
  <c r="J11" i="4"/>
  <c r="J37" i="4"/>
  <c r="J55" i="4"/>
  <c r="J68" i="4"/>
  <c r="J94" i="4"/>
  <c r="J84" i="4"/>
  <c r="J147" i="4"/>
  <c r="J139" i="4"/>
  <c r="J131" i="4"/>
  <c r="J122" i="4"/>
  <c r="J114" i="4"/>
  <c r="J105" i="4"/>
  <c r="J163" i="4"/>
  <c r="J162" i="4" s="1"/>
  <c r="J175" i="4"/>
  <c r="J45" i="4"/>
  <c r="J91" i="4"/>
  <c r="J67" i="4"/>
  <c r="J66" i="4"/>
  <c r="J65" i="4"/>
  <c r="J63" i="4"/>
  <c r="J22" i="4"/>
  <c r="J21" i="4"/>
  <c r="J23" i="4"/>
  <c r="J20" i="4"/>
  <c r="J14" i="4"/>
  <c r="J13" i="4"/>
  <c r="J159" i="4"/>
  <c r="J98" i="4"/>
  <c r="J90" i="4"/>
  <c r="J158" i="4"/>
  <c r="J129" i="4"/>
  <c r="J108" i="4"/>
  <c r="J12" i="4"/>
  <c r="J64" i="4"/>
  <c r="J75" i="4"/>
  <c r="J71" i="4"/>
  <c r="J18" i="4"/>
  <c r="J97" i="4"/>
  <c r="J25" i="4"/>
  <c r="J9" i="4"/>
  <c r="J10" i="4"/>
  <c r="J38" i="4"/>
  <c r="J93" i="4"/>
  <c r="J130" i="4"/>
  <c r="J165" i="4"/>
  <c r="J176" i="4"/>
  <c r="J30" i="4"/>
  <c r="J73" i="4"/>
  <c r="P15" i="6"/>
  <c r="P42" i="6" s="1"/>
  <c r="AA42" i="6"/>
  <c r="V38" i="6"/>
  <c r="AB26" i="6"/>
  <c r="J26" i="4"/>
  <c r="J28" i="4"/>
  <c r="J39" i="4"/>
  <c r="J57" i="4"/>
  <c r="J61" i="4"/>
  <c r="J92" i="4"/>
  <c r="J82" i="4"/>
  <c r="J145" i="4"/>
  <c r="J137" i="4"/>
  <c r="J128" i="4"/>
  <c r="J120" i="4"/>
  <c r="J112" i="4"/>
  <c r="J152" i="4"/>
  <c r="J166" i="4"/>
  <c r="J177" i="4"/>
  <c r="J96" i="4"/>
  <c r="J36" i="4"/>
  <c r="U38" i="6"/>
  <c r="J56" i="4"/>
  <c r="J121" i="4"/>
  <c r="J31" i="4"/>
  <c r="J40" i="4"/>
  <c r="J78" i="4"/>
  <c r="J60" i="4"/>
  <c r="J89" i="4"/>
  <c r="J102" i="4"/>
  <c r="J144" i="4"/>
  <c r="J136" i="4"/>
  <c r="J127" i="4"/>
  <c r="J119" i="4"/>
  <c r="J111" i="4"/>
  <c r="J154" i="4"/>
  <c r="J168" i="4"/>
  <c r="J167" i="4" s="1"/>
  <c r="J178" i="4"/>
  <c r="J74" i="4"/>
  <c r="J62" i="4"/>
  <c r="J83" i="4"/>
  <c r="J103" i="4"/>
  <c r="P38" i="6"/>
  <c r="X38" i="6"/>
  <c r="X42" i="6" s="1"/>
  <c r="AB29" i="6"/>
  <c r="J19" i="4"/>
  <c r="J32" i="4"/>
  <c r="J41" i="4"/>
  <c r="J77" i="4"/>
  <c r="J59" i="4"/>
  <c r="J88" i="4"/>
  <c r="J151" i="4"/>
  <c r="J143" i="4"/>
  <c r="J135" i="4"/>
  <c r="J126" i="4"/>
  <c r="J118" i="4"/>
  <c r="J110" i="4"/>
  <c r="J155" i="4"/>
  <c r="J170" i="4"/>
  <c r="J183" i="4"/>
  <c r="J29" i="4"/>
  <c r="J79" i="4"/>
  <c r="J171" i="4"/>
  <c r="J146" i="4"/>
  <c r="J113" i="4"/>
  <c r="AB13" i="6"/>
  <c r="W38" i="6"/>
  <c r="J24" i="4"/>
  <c r="R42" i="6"/>
  <c r="Q38" i="6"/>
  <c r="Q42" i="6" s="1"/>
  <c r="Y38" i="6"/>
  <c r="Y42" i="6" s="1"/>
  <c r="AB35" i="6"/>
  <c r="J17" i="4"/>
  <c r="J34" i="4"/>
  <c r="J43" i="4"/>
  <c r="J76" i="4"/>
  <c r="J58" i="4"/>
  <c r="J87" i="4"/>
  <c r="J150" i="4"/>
  <c r="J142" i="4"/>
  <c r="J134" i="4"/>
  <c r="J125" i="4"/>
  <c r="J117" i="4"/>
  <c r="J109" i="4"/>
  <c r="J156" i="4"/>
  <c r="J172" i="4"/>
  <c r="J184" i="4"/>
  <c r="J100" i="4"/>
  <c r="U42" i="6"/>
  <c r="J138" i="4"/>
  <c r="R38" i="6"/>
  <c r="Z38" i="6"/>
  <c r="Z42" i="6" s="1"/>
  <c r="AB22" i="6"/>
  <c r="J16" i="4"/>
  <c r="J35" i="4"/>
  <c r="J46" i="4"/>
  <c r="J70" i="4"/>
  <c r="J81" i="4"/>
  <c r="J86" i="4"/>
  <c r="J149" i="4"/>
  <c r="J141" i="4"/>
  <c r="J133" i="4"/>
  <c r="J124" i="4"/>
  <c r="J116" i="4"/>
  <c r="J107" i="4"/>
  <c r="J157" i="4"/>
  <c r="J153" i="4" s="1"/>
  <c r="J173" i="4"/>
  <c r="J185" i="4"/>
  <c r="J72" i="4"/>
  <c r="G27" i="4"/>
  <c r="G80" i="4"/>
  <c r="G53" i="4"/>
  <c r="Y26" i="7"/>
  <c r="AB30" i="7"/>
  <c r="AB20" i="7"/>
  <c r="AA75" i="7"/>
  <c r="G33" i="4"/>
  <c r="K33" i="4"/>
  <c r="AB14" i="7"/>
  <c r="G182" i="4"/>
  <c r="G169" i="4"/>
  <c r="G164" i="4"/>
  <c r="G153" i="4"/>
  <c r="G8" i="4"/>
  <c r="Q75" i="7"/>
  <c r="Y75" i="7"/>
  <c r="G101" i="4"/>
  <c r="W26" i="7"/>
  <c r="P75" i="7"/>
  <c r="Z75" i="7"/>
  <c r="AB63" i="7"/>
  <c r="X75" i="7"/>
  <c r="AB58" i="7"/>
  <c r="P26" i="7"/>
  <c r="X26" i="7"/>
  <c r="AB22" i="7"/>
  <c r="AB50" i="7"/>
  <c r="AB8" i="7"/>
  <c r="R26" i="7"/>
  <c r="T75" i="7"/>
  <c r="AA26" i="7"/>
  <c r="Z26" i="7"/>
  <c r="AB39" i="7"/>
  <c r="T26" i="7"/>
  <c r="U75" i="7"/>
  <c r="U26" i="7"/>
  <c r="AB78" i="7"/>
  <c r="V75" i="7"/>
  <c r="V26" i="7"/>
  <c r="W75" i="7"/>
  <c r="R75" i="7"/>
  <c r="AB67" i="7"/>
  <c r="Q26" i="7"/>
  <c r="S26" i="7"/>
  <c r="S75" i="7"/>
  <c r="J164" i="4"/>
  <c r="V42" i="6"/>
  <c r="S42" i="6"/>
  <c r="W42" i="6"/>
  <c r="T42" i="6"/>
  <c r="AB19" i="6"/>
  <c r="AB8" i="6"/>
  <c r="J53" i="4" l="1"/>
  <c r="J8" i="4"/>
  <c r="J33" i="4"/>
  <c r="J169" i="4"/>
  <c r="J80" i="4"/>
  <c r="J101" i="4"/>
  <c r="J27" i="4"/>
  <c r="J182" i="4"/>
  <c r="AB42" i="6"/>
  <c r="AB38" i="6"/>
  <c r="AB15" i="6"/>
  <c r="V80" i="7"/>
  <c r="P80" i="7"/>
  <c r="Y80" i="7"/>
  <c r="AA80" i="7"/>
  <c r="Q80" i="7"/>
  <c r="W80" i="7"/>
  <c r="R80" i="7"/>
  <c r="G179" i="4"/>
  <c r="U80" i="7"/>
  <c r="T80" i="7"/>
  <c r="AB75" i="7"/>
  <c r="X80" i="7"/>
  <c r="Z80" i="7"/>
  <c r="AB26" i="7"/>
  <c r="S80" i="7"/>
  <c r="K167" i="4"/>
  <c r="K162" i="4"/>
  <c r="AB59" i="5"/>
  <c r="K183" i="4" s="1"/>
  <c r="AA58" i="5"/>
  <c r="Z58" i="5"/>
  <c r="Y58" i="5"/>
  <c r="X58" i="5"/>
  <c r="W58" i="5"/>
  <c r="V58" i="5"/>
  <c r="U58" i="5"/>
  <c r="T58" i="5"/>
  <c r="S58" i="5"/>
  <c r="R58" i="5"/>
  <c r="Q58" i="5"/>
  <c r="P58" i="5"/>
  <c r="AB54" i="5"/>
  <c r="K176" i="4" s="1"/>
  <c r="AB53" i="5"/>
  <c r="K174" i="4" s="1"/>
  <c r="AB52" i="5"/>
  <c r="K172" i="4" s="1"/>
  <c r="AA51" i="5"/>
  <c r="Z51" i="5"/>
  <c r="Y51" i="5"/>
  <c r="X51" i="5"/>
  <c r="W51" i="5"/>
  <c r="V51" i="5"/>
  <c r="U51" i="5"/>
  <c r="T51" i="5"/>
  <c r="S51" i="5"/>
  <c r="R51" i="5"/>
  <c r="Q51" i="5"/>
  <c r="P51" i="5"/>
  <c r="AB50" i="5"/>
  <c r="AB49" i="5"/>
  <c r="K165" i="4" s="1"/>
  <c r="AA48" i="5"/>
  <c r="Z48" i="5"/>
  <c r="Y48" i="5"/>
  <c r="X48" i="5"/>
  <c r="W48" i="5"/>
  <c r="V48" i="5"/>
  <c r="U48" i="5"/>
  <c r="T48" i="5"/>
  <c r="S48" i="5"/>
  <c r="R48" i="5"/>
  <c r="Q48" i="5"/>
  <c r="P48" i="5"/>
  <c r="AB47" i="5"/>
  <c r="AB46" i="5"/>
  <c r="AB45" i="5"/>
  <c r="K160" i="4" s="1"/>
  <c r="AB44" i="5"/>
  <c r="K154" i="4" s="1"/>
  <c r="AA43" i="5"/>
  <c r="Z43" i="5"/>
  <c r="Y43" i="5"/>
  <c r="X43" i="5"/>
  <c r="W43" i="5"/>
  <c r="V43" i="5"/>
  <c r="U43" i="5"/>
  <c r="T43" i="5"/>
  <c r="S43" i="5"/>
  <c r="R43" i="5"/>
  <c r="Q43" i="5"/>
  <c r="P43" i="5"/>
  <c r="AB42" i="5"/>
  <c r="K144" i="4" s="1"/>
  <c r="AB41" i="5"/>
  <c r="K143" i="4" s="1"/>
  <c r="AB40" i="5"/>
  <c r="K134" i="4" s="1"/>
  <c r="AB39" i="5"/>
  <c r="AB38" i="5"/>
  <c r="K127" i="4" s="1"/>
  <c r="AB37" i="5"/>
  <c r="K126" i="4" s="1"/>
  <c r="AB36" i="5"/>
  <c r="K122" i="4" s="1"/>
  <c r="AB35" i="5"/>
  <c r="K120" i="4" s="1"/>
  <c r="AA34" i="5"/>
  <c r="Z34" i="5"/>
  <c r="Y34" i="5"/>
  <c r="X34" i="5"/>
  <c r="W34" i="5"/>
  <c r="V34" i="5"/>
  <c r="U34" i="5"/>
  <c r="T34" i="5"/>
  <c r="S34" i="5"/>
  <c r="R34" i="5"/>
  <c r="Q34" i="5"/>
  <c r="P34" i="5"/>
  <c r="AB33" i="5"/>
  <c r="K99" i="4" s="1"/>
  <c r="AB32" i="5"/>
  <c r="K93" i="4" s="1"/>
  <c r="AA31" i="5"/>
  <c r="Z31" i="5"/>
  <c r="Y31" i="5"/>
  <c r="X31" i="5"/>
  <c r="W31" i="5"/>
  <c r="V31" i="5"/>
  <c r="U31" i="5"/>
  <c r="T31" i="5"/>
  <c r="S31" i="5"/>
  <c r="R31" i="5"/>
  <c r="Q31" i="5"/>
  <c r="P31" i="5"/>
  <c r="AB30" i="5"/>
  <c r="K74" i="4" s="1"/>
  <c r="AB29" i="5"/>
  <c r="K73" i="4" s="1"/>
  <c r="AB28" i="5"/>
  <c r="K70" i="4" s="1"/>
  <c r="AB27" i="5"/>
  <c r="K62" i="4" s="1"/>
  <c r="AA26" i="5"/>
  <c r="Z26" i="5"/>
  <c r="Y26" i="5"/>
  <c r="X26" i="5"/>
  <c r="W26" i="5"/>
  <c r="V26" i="5"/>
  <c r="U26" i="5"/>
  <c r="U55" i="5" s="1"/>
  <c r="T26" i="5"/>
  <c r="S26" i="5"/>
  <c r="R26" i="5"/>
  <c r="Q26" i="5"/>
  <c r="P26" i="5"/>
  <c r="AB21" i="5"/>
  <c r="AB20" i="5"/>
  <c r="AB19" i="5"/>
  <c r="AA18" i="5"/>
  <c r="Z18" i="5"/>
  <c r="Y18" i="5"/>
  <c r="X18" i="5"/>
  <c r="W18" i="5"/>
  <c r="V18" i="5"/>
  <c r="U18" i="5"/>
  <c r="U22" i="5" s="1"/>
  <c r="T18" i="5"/>
  <c r="T22" i="5" s="1"/>
  <c r="S18" i="5"/>
  <c r="R18" i="5"/>
  <c r="Q18" i="5"/>
  <c r="P18" i="5"/>
  <c r="AB17" i="5"/>
  <c r="AB16" i="5"/>
  <c r="K28" i="4" s="1"/>
  <c r="K27" i="4" s="1"/>
  <c r="AA15" i="5"/>
  <c r="Z15" i="5"/>
  <c r="Y15" i="5"/>
  <c r="X15" i="5"/>
  <c r="W15" i="5"/>
  <c r="V15" i="5"/>
  <c r="U15" i="5"/>
  <c r="T15" i="5"/>
  <c r="S15" i="5"/>
  <c r="R15" i="5"/>
  <c r="Q15" i="5"/>
  <c r="P15" i="5"/>
  <c r="AB14" i="5"/>
  <c r="K18" i="4" s="1"/>
  <c r="AB13" i="5"/>
  <c r="K11" i="4" s="1"/>
  <c r="AB12" i="5"/>
  <c r="K10" i="4" s="1"/>
  <c r="AA11" i="5"/>
  <c r="Z11" i="5"/>
  <c r="Y11" i="5"/>
  <c r="X11" i="5"/>
  <c r="X22" i="5" s="1"/>
  <c r="W11" i="5"/>
  <c r="V11" i="5"/>
  <c r="U11" i="5"/>
  <c r="T11" i="5"/>
  <c r="S11" i="5"/>
  <c r="R11" i="5"/>
  <c r="Q11" i="5"/>
  <c r="P11" i="5"/>
  <c r="P22" i="5" s="1"/>
  <c r="Q55" i="5" l="1"/>
  <c r="Y55" i="5"/>
  <c r="AB26" i="5"/>
  <c r="K53" i="4"/>
  <c r="K80" i="4"/>
  <c r="AB80" i="7"/>
  <c r="R55" i="5"/>
  <c r="Z55" i="5"/>
  <c r="S22" i="5"/>
  <c r="AA22" i="5"/>
  <c r="W55" i="5"/>
  <c r="AB58" i="5"/>
  <c r="P55" i="5"/>
  <c r="X55" i="5"/>
  <c r="X60" i="5" s="1"/>
  <c r="AB51" i="5"/>
  <c r="V22" i="5"/>
  <c r="Q22" i="5"/>
  <c r="Q60" i="5" s="1"/>
  <c r="Y22" i="5"/>
  <c r="Y60" i="5" s="1"/>
  <c r="AB34" i="5"/>
  <c r="AB43" i="5"/>
  <c r="V55" i="5"/>
  <c r="W22" i="5"/>
  <c r="W60" i="5" s="1"/>
  <c r="AB15" i="5"/>
  <c r="R22" i="5"/>
  <c r="R60" i="5" s="1"/>
  <c r="Z22" i="5"/>
  <c r="S55" i="5"/>
  <c r="AA55" i="5"/>
  <c r="AB31" i="5"/>
  <c r="AB48" i="5"/>
  <c r="K164" i="4"/>
  <c r="K182" i="4"/>
  <c r="K8" i="4"/>
  <c r="K169" i="4"/>
  <c r="K153" i="4"/>
  <c r="K101" i="4"/>
  <c r="U60" i="5"/>
  <c r="P60" i="5"/>
  <c r="AB18" i="5"/>
  <c r="AB11" i="5"/>
  <c r="T55" i="5"/>
  <c r="T60" i="5" s="1"/>
  <c r="AA60" i="5" l="1"/>
  <c r="Z60" i="5"/>
  <c r="V60" i="5"/>
  <c r="AB60" i="5" s="1"/>
  <c r="S60" i="5"/>
  <c r="AB22" i="5"/>
  <c r="K179" i="4"/>
  <c r="AB55" i="5"/>
  <c r="J179" i="4" l="1"/>
  <c r="A47" i="4"/>
  <c r="L47" i="4" s="1"/>
  <c r="A44" i="4"/>
  <c r="L44" i="4" s="1"/>
  <c r="S87" i="2"/>
  <c r="I47" i="4" l="1"/>
  <c r="D47" i="4"/>
  <c r="I44" i="4"/>
  <c r="D44" i="4"/>
  <c r="F47" i="4"/>
  <c r="E47" i="4"/>
  <c r="F44" i="4"/>
  <c r="E44" i="4"/>
  <c r="J44" i="4"/>
  <c r="H44" i="4"/>
  <c r="J47" i="4"/>
  <c r="H47" i="4"/>
  <c r="K44" i="4"/>
  <c r="G44" i="4"/>
  <c r="K47" i="4"/>
  <c r="G47" i="4"/>
  <c r="AB16" i="2"/>
  <c r="AB9" i="2"/>
  <c r="H42" i="4" l="1"/>
  <c r="H49" i="4" s="1"/>
  <c r="G42" i="4"/>
  <c r="G49" i="4" s="1"/>
  <c r="G187" i="4" s="1"/>
  <c r="K42" i="4"/>
  <c r="K49" i="4" s="1"/>
  <c r="K187" i="4" s="1"/>
  <c r="J42" i="4"/>
  <c r="J49" i="4" s="1"/>
  <c r="J187" i="4" s="1"/>
  <c r="Q64" i="2"/>
  <c r="R64" i="2"/>
  <c r="S64" i="2"/>
  <c r="T64" i="2"/>
  <c r="U64" i="2"/>
  <c r="V64" i="2"/>
  <c r="W64" i="2"/>
  <c r="X64" i="2"/>
  <c r="Y64" i="2"/>
  <c r="Z64" i="2"/>
  <c r="AA64" i="2"/>
  <c r="P64" i="2"/>
  <c r="Q61" i="2"/>
  <c r="R61" i="2"/>
  <c r="S61" i="2"/>
  <c r="T61" i="2"/>
  <c r="U61" i="2"/>
  <c r="V61" i="2"/>
  <c r="W61" i="2"/>
  <c r="X61" i="2"/>
  <c r="Y61" i="2"/>
  <c r="Z61" i="2"/>
  <c r="AA61" i="2"/>
  <c r="P61" i="2"/>
  <c r="S12" i="2" l="1"/>
  <c r="Q69" i="2"/>
  <c r="R69" i="2"/>
  <c r="S69" i="2"/>
  <c r="T69" i="2"/>
  <c r="U69" i="2"/>
  <c r="V69" i="2"/>
  <c r="W69" i="2"/>
  <c r="X69" i="2"/>
  <c r="Y69" i="2"/>
  <c r="Z69" i="2"/>
  <c r="AA69" i="2"/>
  <c r="P69" i="2"/>
  <c r="Q66" i="2"/>
  <c r="R66" i="2"/>
  <c r="S66" i="2"/>
  <c r="T66" i="2"/>
  <c r="U66" i="2"/>
  <c r="V66" i="2"/>
  <c r="W66" i="2"/>
  <c r="X66" i="2"/>
  <c r="Y66" i="2"/>
  <c r="Z66" i="2"/>
  <c r="AA66" i="2"/>
  <c r="P66" i="2"/>
  <c r="Q59" i="2"/>
  <c r="Q67" i="2" s="1"/>
  <c r="R59" i="2"/>
  <c r="R67" i="2" s="1"/>
  <c r="S59" i="2"/>
  <c r="S67" i="2" s="1"/>
  <c r="T59" i="2"/>
  <c r="T67" i="2" s="1"/>
  <c r="U59" i="2"/>
  <c r="U67" i="2" s="1"/>
  <c r="V59" i="2"/>
  <c r="V67" i="2" s="1"/>
  <c r="W59" i="2"/>
  <c r="W67" i="2" s="1"/>
  <c r="X59" i="2"/>
  <c r="X67" i="2" s="1"/>
  <c r="Y59" i="2"/>
  <c r="Y67" i="2" s="1"/>
  <c r="Z59" i="2"/>
  <c r="Z67" i="2" s="1"/>
  <c r="AA59" i="2"/>
  <c r="AA67" i="2" s="1"/>
  <c r="P59" i="2"/>
  <c r="P67" i="2" s="1"/>
  <c r="AB11" i="2" l="1"/>
  <c r="AB12" i="2"/>
  <c r="AB13" i="2"/>
  <c r="AB14" i="2"/>
  <c r="AB15" i="2"/>
  <c r="AB18" i="2"/>
  <c r="AB19" i="2"/>
  <c r="AB20" i="2"/>
  <c r="AB22" i="2"/>
  <c r="AB23" i="2"/>
  <c r="AB24" i="2"/>
  <c r="AB25" i="2"/>
  <c r="AB26" i="2"/>
  <c r="AB27" i="2"/>
  <c r="AB28" i="2"/>
  <c r="AB29" i="2"/>
  <c r="AB31" i="2"/>
  <c r="AB32" i="2"/>
  <c r="AB33" i="2"/>
  <c r="AB34" i="2"/>
  <c r="AB35" i="2"/>
  <c r="AB39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1" i="2"/>
  <c r="AB122" i="2"/>
  <c r="AB123" i="2"/>
  <c r="AB124" i="2"/>
  <c r="AB125" i="2"/>
  <c r="AB126" i="2"/>
  <c r="AB127" i="2"/>
  <c r="AB129" i="2"/>
  <c r="AB131" i="2"/>
  <c r="AB132" i="2"/>
  <c r="AB134" i="2"/>
  <c r="AB136" i="2"/>
  <c r="AB137" i="2"/>
  <c r="AB138" i="2"/>
  <c r="AB139" i="2"/>
  <c r="AB140" i="2"/>
  <c r="AB141" i="2"/>
  <c r="AB142" i="2"/>
  <c r="AB147" i="2"/>
  <c r="AB148" i="2"/>
  <c r="AB149" i="2"/>
  <c r="AB150" i="2"/>
  <c r="AB10" i="2"/>
  <c r="Q146" i="2"/>
  <c r="R146" i="2"/>
  <c r="S146" i="2"/>
  <c r="T146" i="2"/>
  <c r="U146" i="2"/>
  <c r="V146" i="2"/>
  <c r="W146" i="2"/>
  <c r="X146" i="2"/>
  <c r="Y146" i="2"/>
  <c r="Z146" i="2"/>
  <c r="AA146" i="2"/>
  <c r="P146" i="2"/>
  <c r="Q135" i="2"/>
  <c r="R135" i="2"/>
  <c r="S135" i="2"/>
  <c r="T135" i="2"/>
  <c r="U135" i="2"/>
  <c r="V135" i="2"/>
  <c r="W135" i="2"/>
  <c r="X135" i="2"/>
  <c r="Y135" i="2"/>
  <c r="Z135" i="2"/>
  <c r="AA135" i="2"/>
  <c r="P135" i="2"/>
  <c r="Q133" i="2"/>
  <c r="R133" i="2"/>
  <c r="S133" i="2"/>
  <c r="T133" i="2"/>
  <c r="U133" i="2"/>
  <c r="V133" i="2"/>
  <c r="W133" i="2"/>
  <c r="X133" i="2"/>
  <c r="Y133" i="2"/>
  <c r="Z133" i="2"/>
  <c r="AA133" i="2"/>
  <c r="P133" i="2"/>
  <c r="Q130" i="2"/>
  <c r="R130" i="2"/>
  <c r="S130" i="2"/>
  <c r="T130" i="2"/>
  <c r="U130" i="2"/>
  <c r="V130" i="2"/>
  <c r="W130" i="2"/>
  <c r="X130" i="2"/>
  <c r="Y130" i="2"/>
  <c r="Z130" i="2"/>
  <c r="AA130" i="2"/>
  <c r="P130" i="2"/>
  <c r="Q128" i="2"/>
  <c r="R128" i="2"/>
  <c r="S128" i="2"/>
  <c r="T128" i="2"/>
  <c r="U128" i="2"/>
  <c r="V128" i="2"/>
  <c r="W128" i="2"/>
  <c r="X128" i="2"/>
  <c r="Y128" i="2"/>
  <c r="Z128" i="2"/>
  <c r="AA128" i="2"/>
  <c r="P128" i="2"/>
  <c r="Q120" i="2"/>
  <c r="R120" i="2"/>
  <c r="S120" i="2"/>
  <c r="T120" i="2"/>
  <c r="U120" i="2"/>
  <c r="V120" i="2"/>
  <c r="W120" i="2"/>
  <c r="X120" i="2"/>
  <c r="Y120" i="2"/>
  <c r="Z120" i="2"/>
  <c r="AA120" i="2"/>
  <c r="P120" i="2"/>
  <c r="Q71" i="2"/>
  <c r="R71" i="2"/>
  <c r="S71" i="2"/>
  <c r="T71" i="2"/>
  <c r="U71" i="2"/>
  <c r="V71" i="2"/>
  <c r="W71" i="2"/>
  <c r="X71" i="2"/>
  <c r="Y71" i="2"/>
  <c r="Z71" i="2"/>
  <c r="AA71" i="2"/>
  <c r="P71" i="2"/>
  <c r="Q56" i="2"/>
  <c r="R56" i="2"/>
  <c r="S56" i="2"/>
  <c r="T56" i="2"/>
  <c r="U56" i="2"/>
  <c r="V56" i="2"/>
  <c r="W56" i="2"/>
  <c r="X56" i="2"/>
  <c r="Y56" i="2"/>
  <c r="Z56" i="2"/>
  <c r="AA56" i="2"/>
  <c r="P56" i="2"/>
  <c r="Q40" i="2"/>
  <c r="R40" i="2"/>
  <c r="S40" i="2"/>
  <c r="T40" i="2"/>
  <c r="U40" i="2"/>
  <c r="V40" i="2"/>
  <c r="W40" i="2"/>
  <c r="X40" i="2"/>
  <c r="Y40" i="2"/>
  <c r="Z40" i="2"/>
  <c r="AA40" i="2"/>
  <c r="P40" i="2"/>
  <c r="Q30" i="2"/>
  <c r="R30" i="2"/>
  <c r="S30" i="2"/>
  <c r="T30" i="2"/>
  <c r="U30" i="2"/>
  <c r="V30" i="2"/>
  <c r="W30" i="2"/>
  <c r="X30" i="2"/>
  <c r="Y30" i="2"/>
  <c r="Z30" i="2"/>
  <c r="AA30" i="2"/>
  <c r="P30" i="2"/>
  <c r="Q21" i="2"/>
  <c r="R21" i="2"/>
  <c r="S21" i="2"/>
  <c r="T21" i="2"/>
  <c r="U21" i="2"/>
  <c r="V21" i="2"/>
  <c r="W21" i="2"/>
  <c r="X21" i="2"/>
  <c r="Y21" i="2"/>
  <c r="Z21" i="2"/>
  <c r="AA21" i="2"/>
  <c r="P21" i="2"/>
  <c r="Q17" i="2"/>
  <c r="R17" i="2"/>
  <c r="S17" i="2"/>
  <c r="T17" i="2"/>
  <c r="U17" i="2"/>
  <c r="V17" i="2"/>
  <c r="W17" i="2"/>
  <c r="X17" i="2"/>
  <c r="Y17" i="2"/>
  <c r="Z17" i="2"/>
  <c r="AA17" i="2"/>
  <c r="P17" i="2"/>
  <c r="Q8" i="2"/>
  <c r="R8" i="2"/>
  <c r="S8" i="2"/>
  <c r="T8" i="2"/>
  <c r="U8" i="2"/>
  <c r="V8" i="2"/>
  <c r="W8" i="2"/>
  <c r="X8" i="2"/>
  <c r="Y8" i="2"/>
  <c r="Z8" i="2"/>
  <c r="AA8" i="2"/>
  <c r="P8" i="2"/>
  <c r="H182" i="4" l="1"/>
  <c r="H101" i="4"/>
  <c r="H153" i="4"/>
  <c r="H53" i="4"/>
  <c r="H169" i="4"/>
  <c r="H167" i="4"/>
  <c r="H164" i="4"/>
  <c r="H162" i="4"/>
  <c r="H80" i="4"/>
  <c r="Q143" i="2"/>
  <c r="Y143" i="2"/>
  <c r="Z143" i="2"/>
  <c r="R143" i="2"/>
  <c r="P143" i="2"/>
  <c r="S143" i="2"/>
  <c r="W36" i="2"/>
  <c r="V36" i="2"/>
  <c r="P36" i="2"/>
  <c r="Q36" i="2"/>
  <c r="Y36" i="2"/>
  <c r="T143" i="2"/>
  <c r="U36" i="2"/>
  <c r="T36" i="2"/>
  <c r="X143" i="2"/>
  <c r="S36" i="2"/>
  <c r="Z36" i="2"/>
  <c r="W143" i="2"/>
  <c r="U143" i="2"/>
  <c r="X36" i="2"/>
  <c r="R36" i="2"/>
  <c r="AA143" i="2"/>
  <c r="AA36" i="2"/>
  <c r="AB21" i="2"/>
  <c r="AB133" i="2"/>
  <c r="AB40" i="2"/>
  <c r="AB71" i="2"/>
  <c r="AB128" i="2"/>
  <c r="V143" i="2"/>
  <c r="AB8" i="2"/>
  <c r="AB17" i="2"/>
  <c r="AB30" i="2"/>
  <c r="AB56" i="2"/>
  <c r="AB120" i="2"/>
  <c r="AB130" i="2"/>
  <c r="AB135" i="2"/>
  <c r="AB146" i="2"/>
  <c r="H179" i="4" l="1"/>
  <c r="H187" i="4" s="1"/>
  <c r="AB36" i="2"/>
  <c r="AB143" i="2"/>
  <c r="W151" i="2"/>
  <c r="P151" i="2"/>
  <c r="Q151" i="2"/>
  <c r="Y151" i="2"/>
  <c r="X151" i="2"/>
  <c r="Z151" i="2"/>
  <c r="R151" i="2"/>
  <c r="T151" i="2"/>
  <c r="S151" i="2"/>
  <c r="U151" i="2"/>
  <c r="AA151" i="2"/>
  <c r="V151" i="2"/>
  <c r="AB151" i="2" l="1"/>
  <c r="B34" i="2"/>
  <c r="B32" i="2"/>
  <c r="C98" i="4" l="1"/>
  <c r="C13" i="4"/>
  <c r="C67" i="4"/>
  <c r="C66" i="4"/>
  <c r="C65" i="4"/>
  <c r="C63" i="4"/>
  <c r="C22" i="4"/>
  <c r="C21" i="4"/>
  <c r="C23" i="4"/>
  <c r="C20" i="4"/>
  <c r="C14" i="4"/>
  <c r="C158" i="4"/>
  <c r="C90" i="4"/>
  <c r="C129" i="4"/>
  <c r="C75" i="4"/>
  <c r="C71" i="4"/>
  <c r="C18" i="4"/>
  <c r="C64" i="4"/>
  <c r="C97" i="4"/>
  <c r="C25" i="4"/>
  <c r="C108" i="4"/>
  <c r="C12" i="4"/>
  <c r="C171" i="4"/>
  <c r="C79" i="4"/>
  <c r="C29" i="4"/>
  <c r="C74" i="4"/>
  <c r="C96" i="4"/>
  <c r="C32" i="4"/>
  <c r="C73" i="4"/>
  <c r="C172" i="4"/>
  <c r="C104" i="4"/>
  <c r="C45" i="4"/>
  <c r="C93" i="4"/>
  <c r="C72" i="4"/>
  <c r="C17" i="4"/>
  <c r="C100" i="4"/>
  <c r="C9" i="4"/>
  <c r="C26" i="4"/>
  <c r="C141" i="4"/>
  <c r="C54" i="4"/>
  <c r="C122" i="4"/>
  <c r="C159" i="4"/>
  <c r="C40" i="4"/>
  <c r="C113" i="4"/>
  <c r="C149" i="4"/>
  <c r="C37" i="4"/>
  <c r="C111" i="4"/>
  <c r="C173" i="4"/>
  <c r="C59" i="4"/>
  <c r="C118" i="4"/>
  <c r="C15" i="4"/>
  <c r="C174" i="4"/>
  <c r="C94" i="4"/>
  <c r="C89" i="4"/>
  <c r="C152" i="4"/>
  <c r="C175" i="4"/>
  <c r="C85" i="4"/>
  <c r="C121" i="4"/>
  <c r="C87" i="4"/>
  <c r="C109" i="4"/>
  <c r="C92" i="4"/>
  <c r="C30" i="4"/>
  <c r="C114" i="4"/>
  <c r="C116" i="4"/>
  <c r="C178" i="4"/>
  <c r="C103" i="4"/>
  <c r="C107" i="4"/>
  <c r="C176" i="4"/>
  <c r="C99" i="4"/>
  <c r="C124" i="4"/>
  <c r="C19" i="4"/>
  <c r="C110" i="4"/>
  <c r="C185" i="4"/>
  <c r="C160" i="4"/>
  <c r="C84" i="4"/>
  <c r="C168" i="4"/>
  <c r="C167" i="4" s="1"/>
  <c r="C155" i="4"/>
  <c r="C78" i="4"/>
  <c r="C184" i="4"/>
  <c r="C142" i="4"/>
  <c r="C120" i="4"/>
  <c r="C131" i="4"/>
  <c r="C47" i="4"/>
  <c r="C35" i="4"/>
  <c r="C55" i="4"/>
  <c r="C183" i="4"/>
  <c r="C105" i="4"/>
  <c r="C41" i="4"/>
  <c r="C166" i="4"/>
  <c r="C88" i="4"/>
  <c r="C31" i="4"/>
  <c r="C163" i="4"/>
  <c r="C162" i="4" s="1"/>
  <c r="C86" i="4"/>
  <c r="C68" i="4"/>
  <c r="C10" i="4"/>
  <c r="C95" i="4"/>
  <c r="C133" i="4"/>
  <c r="C150" i="4"/>
  <c r="C69" i="4"/>
  <c r="C157" i="4"/>
  <c r="C148" i="4"/>
  <c r="C165" i="4"/>
  <c r="C164" i="4" s="1"/>
  <c r="C76" i="4"/>
  <c r="C83" i="4"/>
  <c r="C56" i="4"/>
  <c r="C11" i="4"/>
  <c r="C62" i="4"/>
  <c r="C119" i="4"/>
  <c r="C186" i="4"/>
  <c r="C140" i="4"/>
  <c r="C156" i="4"/>
  <c r="C81" i="4"/>
  <c r="C132" i="4"/>
  <c r="C146" i="4"/>
  <c r="C60" i="4"/>
  <c r="C137" i="4"/>
  <c r="C144" i="4"/>
  <c r="C58" i="4"/>
  <c r="C177" i="4"/>
  <c r="C151" i="4"/>
  <c r="C70" i="4"/>
  <c r="C170" i="4"/>
  <c r="C134" i="4"/>
  <c r="C43" i="4"/>
  <c r="C106" i="4"/>
  <c r="C91" i="4"/>
  <c r="C130" i="4"/>
  <c r="C77" i="4"/>
  <c r="C36" i="4"/>
  <c r="C44" i="4"/>
  <c r="C82" i="4"/>
  <c r="C24" i="4"/>
  <c r="C126" i="4"/>
  <c r="C123" i="4"/>
  <c r="C147" i="4"/>
  <c r="C61" i="4"/>
  <c r="C115" i="4"/>
  <c r="C138" i="4"/>
  <c r="C48" i="4"/>
  <c r="C102" i="4"/>
  <c r="C136" i="4"/>
  <c r="C46" i="4"/>
  <c r="C145" i="4"/>
  <c r="C143" i="4"/>
  <c r="C57" i="4"/>
  <c r="C154" i="4"/>
  <c r="C125" i="4"/>
  <c r="C34" i="4"/>
  <c r="C139" i="4"/>
  <c r="C39" i="4"/>
  <c r="C38" i="4"/>
  <c r="C127" i="4"/>
  <c r="C112" i="4"/>
  <c r="C135" i="4"/>
  <c r="C117" i="4"/>
  <c r="C28" i="4"/>
  <c r="C16" i="4"/>
  <c r="E8" i="4"/>
  <c r="E33" i="4"/>
  <c r="C80" i="4" l="1"/>
  <c r="C8" i="4"/>
  <c r="C53" i="4"/>
  <c r="C27" i="4"/>
  <c r="C33" i="4"/>
  <c r="C101" i="4"/>
  <c r="C42" i="4"/>
  <c r="C153" i="4"/>
  <c r="C169" i="4"/>
  <c r="C182" i="4"/>
  <c r="E42" i="4"/>
  <c r="E49" i="4" s="1"/>
  <c r="E53" i="4"/>
  <c r="E80" i="4"/>
  <c r="E101" i="4"/>
  <c r="E153" i="4"/>
  <c r="E162" i="4"/>
  <c r="E164" i="4"/>
  <c r="E167" i="4"/>
  <c r="C179" i="4" l="1"/>
  <c r="C49" i="4"/>
  <c r="C187" i="4" s="1"/>
  <c r="E169" i="4"/>
  <c r="E179" i="4" s="1"/>
  <c r="E182" i="4"/>
  <c r="F8" i="4"/>
  <c r="F33" i="4"/>
  <c r="E187" i="4" l="1"/>
  <c r="F42" i="4"/>
  <c r="F49" i="4" s="1"/>
  <c r="F53" i="4" l="1"/>
  <c r="F80" i="4"/>
  <c r="F101" i="4"/>
  <c r="F153" i="4"/>
  <c r="F162" i="4" l="1"/>
  <c r="F164" i="4"/>
  <c r="F167" i="4"/>
  <c r="F169" i="4"/>
  <c r="F182" i="4"/>
  <c r="F179" i="4" l="1"/>
  <c r="F187" i="4" l="1"/>
  <c r="I8" i="4"/>
  <c r="I27" i="4" l="1"/>
  <c r="I33" i="4"/>
  <c r="I42" i="4"/>
  <c r="I49" i="4" l="1"/>
  <c r="I53" i="4" l="1"/>
  <c r="I80" i="4" l="1"/>
  <c r="I101" i="4"/>
  <c r="I153" i="4"/>
  <c r="I162" i="4"/>
  <c r="I164" i="4"/>
  <c r="I167" i="4" l="1"/>
  <c r="I169" i="4"/>
  <c r="I179" i="4" l="1"/>
  <c r="I182" i="4"/>
  <c r="I187" i="4" l="1"/>
  <c r="D8" i="4"/>
  <c r="D27" i="4" l="1"/>
  <c r="D33" i="4"/>
  <c r="B48" i="4"/>
  <c r="D42" i="4"/>
  <c r="D49" i="4" l="1"/>
  <c r="D53" i="4"/>
  <c r="D80" i="4"/>
  <c r="D101" i="4"/>
  <c r="D153" i="4" l="1"/>
  <c r="D162" i="4" l="1"/>
  <c r="D164" i="4"/>
  <c r="D167" i="4" l="1"/>
  <c r="D169" i="4"/>
  <c r="D182" i="4"/>
  <c r="D179" i="4" l="1"/>
  <c r="D187" i="4" s="1"/>
  <c r="L27" i="4"/>
  <c r="L33" i="4"/>
  <c r="B43" i="4"/>
  <c r="B45" i="4"/>
  <c r="B46" i="4"/>
  <c r="B47" i="4"/>
  <c r="B44" i="4"/>
  <c r="L42" i="4"/>
  <c r="B42" i="4" s="1"/>
  <c r="L49" i="4" l="1"/>
  <c r="B54" i="4" l="1"/>
  <c r="B78" i="4"/>
  <c r="B59" i="4"/>
  <c r="B58" i="4"/>
  <c r="B72" i="4"/>
  <c r="B71" i="4"/>
  <c r="B69" i="4"/>
  <c r="B67" i="4"/>
  <c r="B65" i="4"/>
  <c r="B63" i="4"/>
  <c r="B79" i="4"/>
  <c r="B60" i="4"/>
  <c r="B57" i="4"/>
  <c r="B76" i="4"/>
  <c r="B64" i="4"/>
  <c r="B77" i="4"/>
  <c r="B56" i="4"/>
  <c r="B66" i="4"/>
  <c r="B73" i="4"/>
  <c r="B62" i="4"/>
  <c r="B70" i="4"/>
  <c r="B61" i="4"/>
  <c r="B68" i="4"/>
  <c r="B75" i="4"/>
  <c r="B74" i="4"/>
  <c r="B55" i="4"/>
  <c r="L53" i="4"/>
  <c r="B53" i="4" s="1"/>
  <c r="B81" i="4"/>
  <c r="B98" i="4"/>
  <c r="B96" i="4"/>
  <c r="B92" i="4"/>
  <c r="B91" i="4"/>
  <c r="B99" i="4"/>
  <c r="B95" i="4"/>
  <c r="B89" i="4"/>
  <c r="B97" i="4"/>
  <c r="B87" i="4"/>
  <c r="B90" i="4"/>
  <c r="B83" i="4"/>
  <c r="B85" i="4"/>
  <c r="B88" i="4"/>
  <c r="B84" i="4"/>
  <c r="B93" i="4"/>
  <c r="B86" i="4"/>
  <c r="B100" i="4"/>
  <c r="B94" i="4"/>
  <c r="B82" i="4"/>
  <c r="L80" i="4"/>
  <c r="B80" i="4" s="1"/>
  <c r="B102" i="4"/>
  <c r="B134" i="4"/>
  <c r="B108" i="4"/>
  <c r="B122" i="4"/>
  <c r="B121" i="4"/>
  <c r="B143" i="4"/>
  <c r="B120" i="4"/>
  <c r="B136" i="4"/>
  <c r="B116" i="4"/>
  <c r="B112" i="4"/>
  <c r="B126" i="4"/>
  <c r="B141" i="4"/>
  <c r="B119" i="4"/>
  <c r="B137" i="4"/>
  <c r="B107" i="4"/>
  <c r="B152" i="4"/>
  <c r="B109" i="4"/>
  <c r="B138" i="4"/>
  <c r="B128" i="4"/>
  <c r="B124" i="4"/>
  <c r="B140" i="4"/>
  <c r="B113" i="4"/>
  <c r="B145" i="4"/>
  <c r="B133" i="4"/>
  <c r="B129" i="4"/>
  <c r="B117" i="4"/>
  <c r="B125" i="4"/>
  <c r="B132" i="4"/>
  <c r="B150" i="4"/>
  <c r="B146" i="4"/>
  <c r="B144" i="4"/>
  <c r="B149" i="4"/>
  <c r="B111" i="4"/>
  <c r="B105" i="4"/>
  <c r="B106" i="4"/>
  <c r="B114" i="4"/>
  <c r="B104" i="4"/>
  <c r="B135" i="4"/>
  <c r="B142" i="4"/>
  <c r="B151" i="4"/>
  <c r="B110" i="4"/>
  <c r="B139" i="4"/>
  <c r="B131" i="4"/>
  <c r="B115" i="4"/>
  <c r="B123" i="4"/>
  <c r="B148" i="4"/>
  <c r="B147" i="4"/>
  <c r="B127" i="4"/>
  <c r="B130" i="4"/>
  <c r="B118" i="4"/>
  <c r="B103" i="4"/>
  <c r="L101" i="4"/>
  <c r="B101" i="4" l="1"/>
  <c r="B154" i="4"/>
  <c r="B160" i="4"/>
  <c r="B159" i="4"/>
  <c r="B157" i="4"/>
  <c r="B158" i="4"/>
  <c r="B156" i="4"/>
  <c r="B155" i="4"/>
  <c r="L153" i="4"/>
  <c r="B153" i="4" l="1"/>
  <c r="B163" i="4"/>
  <c r="L162" i="4"/>
  <c r="B162" i="4" s="1"/>
  <c r="B165" i="4"/>
  <c r="B166" i="4"/>
  <c r="L164" i="4"/>
  <c r="B164" i="4"/>
  <c r="B168" i="4"/>
  <c r="L167" i="4"/>
  <c r="B167" i="4" s="1"/>
  <c r="B170" i="4"/>
  <c r="B175" i="4"/>
  <c r="B176" i="4"/>
  <c r="B172" i="4"/>
  <c r="B178" i="4"/>
  <c r="B177" i="4"/>
  <c r="B174" i="4"/>
  <c r="B173" i="4"/>
  <c r="B171" i="4"/>
  <c r="L169" i="4"/>
  <c r="B183" i="4"/>
  <c r="B186" i="4"/>
  <c r="B185" i="4"/>
  <c r="B184" i="4"/>
  <c r="L182" i="4"/>
  <c r="B182" i="4" s="1"/>
  <c r="L179" i="4" l="1"/>
  <c r="B179" i="4" s="1"/>
  <c r="B169" i="4"/>
  <c r="L187" i="4" l="1"/>
  <c r="B187" i="4" s="1"/>
  <c r="B9" i="4"/>
  <c r="B26" i="4"/>
  <c r="B12" i="4"/>
  <c r="B13" i="4"/>
  <c r="B25" i="4"/>
  <c r="B17" i="4"/>
  <c r="B18" i="4"/>
  <c r="B20" i="4"/>
  <c r="B8" i="4"/>
  <c r="B10" i="4"/>
  <c r="B22" i="4"/>
  <c r="B15" i="4"/>
  <c r="B16" i="4"/>
  <c r="B21" i="4"/>
  <c r="B23" i="4"/>
  <c r="B11" i="4"/>
  <c r="B24" i="4"/>
  <c r="B14" i="4"/>
  <c r="B19" i="4"/>
  <c r="B28" i="4"/>
  <c r="B31" i="4"/>
  <c r="B30" i="4"/>
  <c r="B29" i="4"/>
  <c r="M27" i="4"/>
  <c r="B32" i="4"/>
  <c r="B34" i="4"/>
  <c r="B36" i="4"/>
  <c r="B39" i="4"/>
  <c r="B41" i="4"/>
  <c r="B38" i="4"/>
  <c r="B37" i="4"/>
  <c r="B40" i="4"/>
  <c r="B35" i="4"/>
  <c r="M33" i="4"/>
  <c r="B33" i="4" s="1"/>
  <c r="B27" i="4" l="1"/>
  <c r="M49" i="4"/>
  <c r="B49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Bjørn</author>
  </authors>
  <commentList>
    <comment ref="P16" authorId="0" shapeId="0" xr:uid="{48B77712-8CA2-41C9-BD20-4B24F716D55D}">
      <text>
        <r>
          <rPr>
            <b/>
            <sz val="9"/>
            <color indexed="81"/>
            <rFont val="Tahoma"/>
            <family val="2"/>
          </rPr>
          <t>Bjørn:</t>
        </r>
        <r>
          <rPr>
            <sz val="9"/>
            <color indexed="81"/>
            <rFont val="Tahoma"/>
            <family val="2"/>
          </rPr>
          <t xml:space="preserve">
Beregnet for gjenomsnittlig utnyttelse 2 timer hver lørdag til kr 175,- - kr. 12,- i bookingkostnad</t>
        </r>
      </text>
    </comment>
    <comment ref="Q16" authorId="0" shapeId="0" xr:uid="{7081A021-06AF-4817-BD59-B6C5B95BB66E}">
      <text>
        <r>
          <rPr>
            <b/>
            <sz val="9"/>
            <color indexed="81"/>
            <rFont val="Tahoma"/>
            <family val="2"/>
          </rPr>
          <t>Bjørn:</t>
        </r>
        <r>
          <rPr>
            <sz val="9"/>
            <color indexed="81"/>
            <rFont val="Tahoma"/>
            <family val="2"/>
          </rPr>
          <t xml:space="preserve">
Beregnet for gjenomsnittlig utnyttelse 2 timer hver lørdag til kr 175,- - kr. 12,- i bookingkostnad</t>
        </r>
      </text>
    </comment>
    <comment ref="R16" authorId="0" shapeId="0" xr:uid="{D69DC575-A713-4CA9-97FC-9EFDD8351F4F}">
      <text>
        <r>
          <rPr>
            <b/>
            <sz val="9"/>
            <color indexed="81"/>
            <rFont val="Tahoma"/>
            <family val="2"/>
          </rPr>
          <t>Bjørn:</t>
        </r>
        <r>
          <rPr>
            <sz val="9"/>
            <color indexed="81"/>
            <rFont val="Tahoma"/>
            <family val="2"/>
          </rPr>
          <t xml:space="preserve">
Beregnet for gjenomsnittlig utnyttelse 2 timer hver lørdag til kr 175,- - kr. 12,- i bookingkostnad</t>
        </r>
      </text>
    </comment>
    <comment ref="S16" authorId="0" shapeId="0" xr:uid="{33F3B34C-2330-4128-94F4-66B8AF08DA93}">
      <text>
        <r>
          <rPr>
            <b/>
            <sz val="9"/>
            <color indexed="81"/>
            <rFont val="Tahoma"/>
            <family val="2"/>
          </rPr>
          <t>Bjørn:</t>
        </r>
        <r>
          <rPr>
            <sz val="9"/>
            <color indexed="81"/>
            <rFont val="Tahoma"/>
            <family val="2"/>
          </rPr>
          <t xml:space="preserve">
Beregnet for gjenomsnittlig utnyttelse 2 timer hver lørdag til kr 175,- - kr. 12,- i bookingkostnad</t>
        </r>
      </text>
    </comment>
    <comment ref="T25" authorId="0" shapeId="0" xr:uid="{1CEF741B-8C74-48BC-9F56-1F33F4D3EF49}">
      <text>
        <r>
          <rPr>
            <b/>
            <sz val="9"/>
            <color indexed="81"/>
            <rFont val="Tahoma"/>
            <family val="2"/>
          </rPr>
          <t>Bjørn:</t>
        </r>
        <r>
          <rPr>
            <sz val="9"/>
            <color indexed="81"/>
            <rFont val="Tahoma"/>
            <family val="2"/>
          </rPr>
          <t xml:space="preserve">
Tennisballer til divisjonstennis og kurs</t>
        </r>
      </text>
    </comment>
    <comment ref="X25" authorId="0" shapeId="0" xr:uid="{33645ED4-DB92-4B86-ADF5-FEA15D03EA10}">
      <text>
        <r>
          <rPr>
            <b/>
            <sz val="9"/>
            <color indexed="81"/>
            <rFont val="Tahoma"/>
            <family val="2"/>
          </rPr>
          <t>Bjørn:</t>
        </r>
        <r>
          <rPr>
            <sz val="9"/>
            <color indexed="81"/>
            <rFont val="Tahoma"/>
            <family val="2"/>
          </rPr>
          <t xml:space="preserve">
Tennisballer til divisjonstennis og kurs</t>
        </r>
      </text>
    </comment>
    <comment ref="S26" authorId="0" shapeId="0" xr:uid="{8C144FD7-CC1D-4555-95BE-2B5DF6EAFF35}">
      <text>
        <r>
          <rPr>
            <b/>
            <sz val="9"/>
            <color indexed="81"/>
            <rFont val="Tahoma"/>
            <family val="2"/>
          </rPr>
          <t>Bjørn:</t>
        </r>
        <r>
          <rPr>
            <sz val="9"/>
            <color indexed="81"/>
            <rFont val="Tahoma"/>
            <family val="2"/>
          </rPr>
          <t xml:space="preserve">
Divisjonstennis </t>
        </r>
      </text>
    </comment>
    <comment ref="T26" authorId="0" shapeId="0" xr:uid="{E60DC84A-A3F1-4B99-A92C-C020B8AA7E0D}">
      <text>
        <r>
          <rPr>
            <b/>
            <sz val="9"/>
            <color indexed="81"/>
            <rFont val="Tahoma"/>
            <family val="2"/>
          </rPr>
          <t>Bjørn:</t>
        </r>
        <r>
          <rPr>
            <sz val="9"/>
            <color indexed="81"/>
            <rFont val="Tahoma"/>
            <family val="2"/>
          </rPr>
          <t xml:space="preserve">
Innendørsserie vinter 22/23</t>
        </r>
      </text>
    </comment>
    <comment ref="U27" authorId="0" shapeId="0" xr:uid="{8A7F4732-9B0A-4E72-AAAF-AC3E0B8C233F}">
      <text>
        <r>
          <rPr>
            <b/>
            <sz val="9"/>
            <color indexed="81"/>
            <rFont val="Tahoma"/>
            <family val="2"/>
          </rPr>
          <t>Bjørn:</t>
        </r>
        <r>
          <rPr>
            <sz val="9"/>
            <color indexed="81"/>
            <rFont val="Tahoma"/>
            <family val="2"/>
          </rPr>
          <t xml:space="preserve">
Kontingent til NTF</t>
        </r>
      </text>
    </comment>
    <comment ref="W27" authorId="0" shapeId="0" xr:uid="{FA5DC339-8990-43A9-8B4B-5755877FA5BE}">
      <text>
        <r>
          <rPr>
            <b/>
            <sz val="9"/>
            <color indexed="81"/>
            <rFont val="Tahoma"/>
            <family val="2"/>
          </rPr>
          <t>Bjørn:</t>
        </r>
        <r>
          <rPr>
            <sz val="9"/>
            <color indexed="81"/>
            <rFont val="Tahoma"/>
            <family val="2"/>
          </rPr>
          <t xml:space="preserve">
Kontingent til tennisregion øst</t>
        </r>
      </text>
    </comment>
    <comment ref="U32" authorId="0" shapeId="0" xr:uid="{54EB5FD1-3971-4D08-AC7A-08C9691D2DBC}">
      <text>
        <r>
          <rPr>
            <b/>
            <sz val="9"/>
            <color indexed="81"/>
            <rFont val="Tahoma"/>
            <family val="2"/>
          </rPr>
          <t>Bjørn:</t>
        </r>
        <r>
          <rPr>
            <sz val="9"/>
            <color indexed="81"/>
            <rFont val="Tahoma"/>
            <family val="2"/>
          </rPr>
          <t xml:space="preserve">
Sesongåping
</t>
        </r>
      </text>
    </comment>
    <comment ref="AA32" authorId="0" shapeId="0" xr:uid="{0B7DB6AE-0B26-48BD-856F-501A5DD26807}">
      <text>
        <r>
          <rPr>
            <b/>
            <sz val="9"/>
            <color indexed="81"/>
            <rFont val="Tahoma"/>
            <family val="2"/>
          </rPr>
          <t>Bjørn:</t>
        </r>
        <r>
          <rPr>
            <sz val="9"/>
            <color indexed="81"/>
            <rFont val="Tahoma"/>
            <family val="2"/>
          </rPr>
          <t xml:space="preserve">
Årsavslutning, klubbmesterskap</t>
        </r>
      </text>
    </comment>
    <comment ref="T34" authorId="0" shapeId="0" xr:uid="{5A51E084-EA09-4261-81E0-80FAB3B6626A}">
      <text>
        <r>
          <rPr>
            <b/>
            <sz val="9"/>
            <color indexed="81"/>
            <rFont val="Tahoma"/>
            <family val="2"/>
          </rPr>
          <t>Bjørn:</t>
        </r>
        <r>
          <rPr>
            <sz val="9"/>
            <color indexed="81"/>
            <rFont val="Tahoma"/>
            <family val="2"/>
          </rPr>
          <t xml:space="preserve">
Leie SIF-hallen vinter 22/23</t>
        </r>
      </text>
    </comment>
    <comment ref="S36" authorId="0" shapeId="0" xr:uid="{B02709F4-B8EF-4C4F-A156-B9CFF47111A3}">
      <text>
        <r>
          <rPr>
            <b/>
            <sz val="9"/>
            <color indexed="81"/>
            <rFont val="Tahoma"/>
            <family val="2"/>
          </rPr>
          <t>Bjørn:</t>
        </r>
        <r>
          <rPr>
            <sz val="9"/>
            <color indexed="81"/>
            <rFont val="Tahoma"/>
            <family val="2"/>
          </rPr>
          <t xml:space="preserve">
Årskostnad MATCHi</t>
        </r>
      </text>
    </comment>
    <comment ref="T37" authorId="0" shapeId="0" xr:uid="{A22EF2ED-FBF5-4288-995C-93CFAA6299DB}">
      <text>
        <r>
          <rPr>
            <b/>
            <sz val="9"/>
            <color indexed="81"/>
            <rFont val="Tahoma"/>
            <family val="2"/>
          </rPr>
          <t>Bjørn:</t>
        </r>
        <r>
          <rPr>
            <sz val="9"/>
            <color indexed="81"/>
            <rFont val="Tahoma"/>
            <family val="2"/>
          </rPr>
          <t xml:space="preserve">
Diverse vedlikehold og utstyr vårdugnad
</t>
        </r>
      </text>
    </comment>
    <comment ref="W37" authorId="0" shapeId="0" xr:uid="{725F220A-DB0E-4A79-8E38-704B82465813}">
      <text>
        <r>
          <rPr>
            <b/>
            <sz val="9"/>
            <color indexed="81"/>
            <rFont val="Tahoma"/>
            <family val="2"/>
          </rPr>
          <t>Bjørn:</t>
        </r>
        <r>
          <rPr>
            <sz val="9"/>
            <color indexed="81"/>
            <rFont val="Tahoma"/>
            <family val="2"/>
          </rPr>
          <t xml:space="preserve">
Diverse vedlikehold og utstyr høstsesong</t>
        </r>
      </text>
    </comment>
    <comment ref="T38" authorId="0" shapeId="0" xr:uid="{1C3FACC4-8C2F-44DF-BB5E-CBFCE021C08D}">
      <text>
        <r>
          <rPr>
            <b/>
            <sz val="9"/>
            <color indexed="81"/>
            <rFont val="Tahoma"/>
            <family val="2"/>
          </rPr>
          <t>Bjørn:</t>
        </r>
        <r>
          <rPr>
            <sz val="9"/>
            <color indexed="81"/>
            <rFont val="Tahoma"/>
            <family val="2"/>
          </rPr>
          <t xml:space="preserve">
Tennisgrus</t>
        </r>
      </text>
    </comment>
    <comment ref="X38" authorId="0" shapeId="0" xr:uid="{6E74F619-9F23-4259-99E7-4CBC04230ECD}">
      <text>
        <r>
          <rPr>
            <b/>
            <sz val="9"/>
            <color indexed="81"/>
            <rFont val="Tahoma"/>
            <family val="2"/>
          </rPr>
          <t>Bjørn:</t>
        </r>
        <r>
          <rPr>
            <sz val="9"/>
            <color indexed="81"/>
            <rFont val="Tahoma"/>
            <family val="2"/>
          </rPr>
          <t xml:space="preserve">
Supplering tennisgrus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Peder Ivan Kornbakk</author>
  </authors>
  <commentList>
    <comment ref="Q13" authorId="0" shapeId="0" xr:uid="{8CD03A61-B119-44E6-A10D-0CF2A75F1E90}">
      <text>
        <r>
          <rPr>
            <b/>
            <sz val="9"/>
            <color indexed="81"/>
            <rFont val="Tahoma"/>
            <family val="2"/>
          </rPr>
          <t>Peder Ivan Kornbakk:</t>
        </r>
        <r>
          <rPr>
            <sz val="9"/>
            <color indexed="81"/>
            <rFont val="Tahoma"/>
            <family val="2"/>
          </rPr>
          <t xml:space="preserve">
Dugnad Thema</t>
        </r>
      </text>
    </comment>
  </commentList>
</comments>
</file>

<file path=xl/sharedStrings.xml><?xml version="1.0" encoding="utf-8"?>
<sst xmlns="http://schemas.openxmlformats.org/spreadsheetml/2006/main" count="1073" uniqueCount="255">
  <si>
    <t>Sørumsand Idrettsforening</t>
  </si>
  <si>
    <t>Regnskap</t>
  </si>
  <si>
    <t>Hele året</t>
  </si>
  <si>
    <t>Inntekter</t>
  </si>
  <si>
    <t>Salgsinntekter</t>
  </si>
  <si>
    <t>Tilskudd</t>
  </si>
  <si>
    <t>Leieinntekter</t>
  </si>
  <si>
    <t>Andre inntekter</t>
  </si>
  <si>
    <t>Sum Driftsinntekter</t>
  </si>
  <si>
    <t>Kostnader</t>
  </si>
  <si>
    <t>Varekostnader</t>
  </si>
  <si>
    <t>Lønnskostnader</t>
  </si>
  <si>
    <t>Andre Kostnader</t>
  </si>
  <si>
    <t>Reisekostnader</t>
  </si>
  <si>
    <t>Sponsorkostnader</t>
  </si>
  <si>
    <t>Reklame/annonser</t>
  </si>
  <si>
    <t>Kontingenter/Gaver</t>
  </si>
  <si>
    <t>Forsikring m.m.</t>
  </si>
  <si>
    <t>Sum Driftskostnader</t>
  </si>
  <si>
    <t>Finansposter</t>
  </si>
  <si>
    <t>Resultat</t>
  </si>
  <si>
    <t xml:space="preserve"> Regnskapsrapport Hovedlag</t>
  </si>
  <si>
    <t>3020 - Sponsor-/Samarbeidsavtaler avg pl</t>
  </si>
  <si>
    <t>3120 - Sponsorinntekter avgiftsfritt</t>
  </si>
  <si>
    <t>3130 - Kioskinntekt</t>
  </si>
  <si>
    <t>3208 - Grasrotandelen</t>
  </si>
  <si>
    <t>3210 - Medlemskontingent</t>
  </si>
  <si>
    <t>3213 - Påmeld. kurs tennis/håndball/fotball/allidrett</t>
  </si>
  <si>
    <t>3230 - Salg Profilartikler</t>
  </si>
  <si>
    <t>3231 - Salg fyrverkeri</t>
  </si>
  <si>
    <t>3400 - Offentlig tilskudd/refusjon</t>
  </si>
  <si>
    <t>3440 - Spesielt offentlig tilskudd for tjeneste</t>
  </si>
  <si>
    <t>3456 - Tilskudd LAM Midler</t>
  </si>
  <si>
    <t>3600 - Leieinntekt Sørum kommune</t>
  </si>
  <si>
    <t>3601 - Leie inntekter klubbhuset</t>
  </si>
  <si>
    <t>3605 - Leie inntekter SIF Hallen fritt</t>
  </si>
  <si>
    <t>3607 - Leieinntekter bane og anlegg- internt</t>
  </si>
  <si>
    <t>3608 - Leieinntekter tennis</t>
  </si>
  <si>
    <t>3609 - Leieinnteker anlegg - bueskyting</t>
  </si>
  <si>
    <t>3610 - Leie inntekter SIF Hallen pliktig</t>
  </si>
  <si>
    <t>3620 - Annen leieinntekt</t>
  </si>
  <si>
    <t>3961 - Inntekt pant</t>
  </si>
  <si>
    <t>3999 - Diverse inntekter</t>
  </si>
  <si>
    <t>4010 - Kjøp av fyrverkeri</t>
  </si>
  <si>
    <t>4040 - Viderefakturering fotball</t>
  </si>
  <si>
    <t>4041 - Viderefakturering håndball</t>
  </si>
  <si>
    <t>4042 - Viderefakturering tennis</t>
  </si>
  <si>
    <t>4043 - Viderefakturering Svømming</t>
  </si>
  <si>
    <t>4044 - Viderefakturering bue</t>
  </si>
  <si>
    <t>4045 - Viderefakturering tur og friluftsliv</t>
  </si>
  <si>
    <t>4046 - Viderefakturering allidrett</t>
  </si>
  <si>
    <t>4130 - Varekjøp Kiosk</t>
  </si>
  <si>
    <t>4300 - Innkjøp profilartikler</t>
  </si>
  <si>
    <t>4301 - Trykk av logo</t>
  </si>
  <si>
    <t>4302 - Trenings- og kamputstyr</t>
  </si>
  <si>
    <t>4503 - Dommerkostnader</t>
  </si>
  <si>
    <t>4590 - Fordeling mellom gruppene</t>
  </si>
  <si>
    <t>4591 - Avregning kioskoppgjør</t>
  </si>
  <si>
    <t>5000 - Lønn til ansatte</t>
  </si>
  <si>
    <t>5040 - Bonus</t>
  </si>
  <si>
    <t>5092 - Feriepenger beregnet (Payroll)</t>
  </si>
  <si>
    <t>5180 - Feriepenger beregnet</t>
  </si>
  <si>
    <t>5210 - Fri telefon</t>
  </si>
  <si>
    <t>5270 - Elektronisk kommunikasjon</t>
  </si>
  <si>
    <t>5280 - Innberettet refusjon sykepenger</t>
  </si>
  <si>
    <t>5290 - Motkonto 5210 og 5280</t>
  </si>
  <si>
    <t>5392 - Godtgjørelse trenere og frivillige</t>
  </si>
  <si>
    <t>5400 - Arbeidsgiveravgift</t>
  </si>
  <si>
    <t>5405 - Arbeidsgiveravgift av  påløpt feriepenger/lønn</t>
  </si>
  <si>
    <t>5800 - Refusjon sykepenger</t>
  </si>
  <si>
    <t>5945 - OTP</t>
  </si>
  <si>
    <t>5980 - Sosiale tiltak</t>
  </si>
  <si>
    <t>6000 - Avskr. bygn. og annen eiendom</t>
  </si>
  <si>
    <t>6010 - Avskr. maskiner, inventar mv.</t>
  </si>
  <si>
    <t>6190 - Annen frakt- og transportkostnad v/salg</t>
  </si>
  <si>
    <t>6300 - Leie lokaler</t>
  </si>
  <si>
    <t>6305 - Leie bane - og anlegg</t>
  </si>
  <si>
    <t>6320 - Avfallshåndtering, vann og avløp</t>
  </si>
  <si>
    <t>6340 - Lys, varme</t>
  </si>
  <si>
    <t>6360 - Renhold</t>
  </si>
  <si>
    <t>6380 - Alarm abbonement</t>
  </si>
  <si>
    <t>6410 - Leie bankterminal</t>
  </si>
  <si>
    <t>6420 - Leie datasystemer</t>
  </si>
  <si>
    <t>6430 - Leie andre kontormaskiner</t>
  </si>
  <si>
    <t>6440 - Leie transportmidler</t>
  </si>
  <si>
    <t>6490 - Annen leiekostnad</t>
  </si>
  <si>
    <t>6537 - Nye Idrettsparken kostnad prosjekt</t>
  </si>
  <si>
    <t>6540 - Inventar</t>
  </si>
  <si>
    <t>6550 - Driftsmateriale</t>
  </si>
  <si>
    <t>6551 - Driftsmaterialer SIF Hallen</t>
  </si>
  <si>
    <t>6560 - Rekvisita</t>
  </si>
  <si>
    <t>6561 - Drift utebaner</t>
  </si>
  <si>
    <t>6562 - Gummigranulat kunstgressbane</t>
  </si>
  <si>
    <t>6563 - Snøbrøyting</t>
  </si>
  <si>
    <t>6564 - Investering bane / anlegg</t>
  </si>
  <si>
    <t>6565 - Oppgradering av anlegg (f.eks tribune, vegg o.l.)</t>
  </si>
  <si>
    <t>6566 - Salt / CMA</t>
  </si>
  <si>
    <t>6568 - Gjødsel/Kritt/Frø</t>
  </si>
  <si>
    <t>6580 - Kostnader skilt i Parken</t>
  </si>
  <si>
    <t>6590 - Annet driftsmateriale</t>
  </si>
  <si>
    <t>6600 - Reparasjon og vedlikehold bygninger</t>
  </si>
  <si>
    <t>6620 - Reparasjon og vedlikehold utstyr</t>
  </si>
  <si>
    <t>6621 - Vedlikehol baneutstyr</t>
  </si>
  <si>
    <t>6622 - Vedlikehold SIF Hallen</t>
  </si>
  <si>
    <t>6623 - Kostnader Traktor</t>
  </si>
  <si>
    <t>6690 - Reparasjon og vedlikehold annet</t>
  </si>
  <si>
    <t>6700 - Honorar revisjon</t>
  </si>
  <si>
    <t>6705 - Honorar regnskap</t>
  </si>
  <si>
    <t>6720 - Honorar for øk. og juridisk bistand</t>
  </si>
  <si>
    <t>6790 - Annen fremmed tjeneste</t>
  </si>
  <si>
    <t>6800 - Kontorrekvisita</t>
  </si>
  <si>
    <t>6810 - Data/EDB-kostnad</t>
  </si>
  <si>
    <t>6820 - Trykksak</t>
  </si>
  <si>
    <t>6840 - Aviser, tidsskrifter, bøker</t>
  </si>
  <si>
    <t>6860 - Møte, kurs, oppdatering</t>
  </si>
  <si>
    <t>6890 - Annen kontorkostnad</t>
  </si>
  <si>
    <t>6900 - Telefon</t>
  </si>
  <si>
    <t>6905 - Mobiltelefon</t>
  </si>
  <si>
    <t>6910 - Internett</t>
  </si>
  <si>
    <t>6940 - Porto</t>
  </si>
  <si>
    <t>7000 - Drivstoff</t>
  </si>
  <si>
    <t>7100 - Bilgodtgjørelse, oppgavepliktig</t>
  </si>
  <si>
    <t>7130 - Reisekostnad, oppgavepliktig</t>
  </si>
  <si>
    <t>7140 - Reisekostnad, ikke oppgavepliktig</t>
  </si>
  <si>
    <t>7150 - Diettkostnad, oppgavepliktig</t>
  </si>
  <si>
    <t>7162 - Bevertning</t>
  </si>
  <si>
    <t>7320 - Annonse/reklame</t>
  </si>
  <si>
    <t>7420 - Gave, premier</t>
  </si>
  <si>
    <t>7430 - Gave, ikke fradragsberettiget</t>
  </si>
  <si>
    <t>7456 - Tilskudd grupper LAM midler</t>
  </si>
  <si>
    <t>7500 - Forsikringspremie</t>
  </si>
  <si>
    <t>7740 - Øredifferanser</t>
  </si>
  <si>
    <t>7770 - Bank- og kortgebyr</t>
  </si>
  <si>
    <t>7774 - Buypass gebyr</t>
  </si>
  <si>
    <t>7775 - Vipps - gebyr</t>
  </si>
  <si>
    <t>7781 - Bøter / Gebyrer</t>
  </si>
  <si>
    <t>7840 - Tap på fordringer, avg.fri</t>
  </si>
  <si>
    <t>8040 - Renteinntekt bank</t>
  </si>
  <si>
    <t>8150 - Rentekostnad bank</t>
  </si>
  <si>
    <t>8153 - Rentekostnad lån 20190190 Kommunalbanken</t>
  </si>
  <si>
    <t>8155 - Rentekostnader leverandører</t>
  </si>
  <si>
    <t>siste 12 mnd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</si>
  <si>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</si>
  <si>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</si>
  <si>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</si>
  <si>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</si>
  <si>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</si>
  <si>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</si>
  <si>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</si>
  <si>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</si>
  <si>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</si>
  <si>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</si>
  <si>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</si>
  <si>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</si>
  <si>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Budsjett 2023</t>
  </si>
  <si>
    <t>Grasromidler</t>
  </si>
  <si>
    <t>3901 - Adm- og økonomibidrag fra gruppene</t>
  </si>
  <si>
    <t>Totalt</t>
  </si>
  <si>
    <t>Hovedlaget</t>
  </si>
  <si>
    <t xml:space="preserve"> Regnskapsrapport Tur og Friluftsliv</t>
  </si>
  <si>
    <t>3212 - Påmelding Cuper og turneringer</t>
  </si>
  <si>
    <t>3960 - Gaver / Bidrag</t>
  </si>
  <si>
    <t>3990 - Inntekt lagskasse</t>
  </si>
  <si>
    <t>4500 - Cuper og turneringer</t>
  </si>
  <si>
    <t>4501 - Avgift til kretsen</t>
  </si>
  <si>
    <t>5450 - Administrasjonsgebyr grupper, internfakturering</t>
  </si>
  <si>
    <t>6570 - Arbeidsklær og verneutstyr</t>
  </si>
  <si>
    <t>7720 - Årsmøte</t>
  </si>
  <si>
    <t>Tur og Friluftsliv</t>
  </si>
  <si>
    <t xml:space="preserve"> Regnskapsrapport Futsal</t>
  </si>
  <si>
    <t>5955 - Dommerutdanning</t>
  </si>
  <si>
    <t>Futsal</t>
  </si>
  <si>
    <t xml:space="preserve"> Regnskapsrapport Svømming</t>
  </si>
  <si>
    <t>3211 - Treningsavgift</t>
  </si>
  <si>
    <t>3225 - Kursinntekter</t>
  </si>
  <si>
    <t>3410 - Off. tilskudd/refusjoner</t>
  </si>
  <si>
    <t>3520 - Tilskudd Akershus Idrettskrets</t>
  </si>
  <si>
    <t>3530 - Tilskudd fra Norges Svømmeforbund</t>
  </si>
  <si>
    <t>4304 - Utstyr trenere</t>
  </si>
  <si>
    <t>4710 - Reise kostnader</t>
  </si>
  <si>
    <t>5951 - Trenerutdanning</t>
  </si>
  <si>
    <t>5990 - Annen personalkostnad</t>
  </si>
  <si>
    <t>6100 - Frakt, transportkostnad og forsikring ved vareforsendelse</t>
  </si>
  <si>
    <t>7600 - Lisensavgift og royalties</t>
  </si>
  <si>
    <t>Svømming</t>
  </si>
  <si>
    <t>6566 - Salt / BMA</t>
  </si>
  <si>
    <t>avd 19</t>
  </si>
  <si>
    <t>avd 10</t>
  </si>
  <si>
    <t>avd 17</t>
  </si>
  <si>
    <t>avd 14</t>
  </si>
  <si>
    <t xml:space="preserve"> Regnskapsrapport Fotball</t>
  </si>
  <si>
    <t>3201 - Fri treningsavgift</t>
  </si>
  <si>
    <t>3202 - Billettinntekter/parkering</t>
  </si>
  <si>
    <t>3204 - Loddsalg</t>
  </si>
  <si>
    <t>3217 - Salg sokker</t>
  </si>
  <si>
    <t>4205 - Innkjøp sokker</t>
  </si>
  <si>
    <t>4303 - Utstyr dommere</t>
  </si>
  <si>
    <t>4502 - Spilleroverganger</t>
  </si>
  <si>
    <t>4505 - Kontingent treneforening</t>
  </si>
  <si>
    <t>4520 - Fotballcamp</t>
  </si>
  <si>
    <t>5952 - Spillerutvikling</t>
  </si>
  <si>
    <t>6310 - Leie anlegg HS</t>
  </si>
  <si>
    <t>6861 - Trenerseminar</t>
  </si>
  <si>
    <t>7790 - Lagskasse</t>
  </si>
  <si>
    <t>8140 - Rentekostn, ikke fradragsberettiget</t>
  </si>
  <si>
    <t>Fotball</t>
  </si>
  <si>
    <t xml:space="preserve"> Regnskapsrapport Bueskyting</t>
  </si>
  <si>
    <t>3207 - Dugnad</t>
  </si>
  <si>
    <t>3220 - Egenandeler Cuper</t>
  </si>
  <si>
    <t>Bueskyting</t>
  </si>
  <si>
    <t>avd 12</t>
  </si>
  <si>
    <t xml:space="preserve"> Regnskapsrapport Tennis</t>
  </si>
  <si>
    <t>6567 - Grus / Toppdekke</t>
  </si>
  <si>
    <t>Tennis</t>
  </si>
  <si>
    <t>avd 13</t>
  </si>
  <si>
    <t xml:space="preserve"> Regnskapsrapport Håndball</t>
  </si>
  <si>
    <t>3202 - Billettinntekter</t>
  </si>
  <si>
    <t>3206 - Salg julenek</t>
  </si>
  <si>
    <t>3214 - Salg kakebokser</t>
  </si>
  <si>
    <t>3218 - Bingoinntekter</t>
  </si>
  <si>
    <t>4131 - Innkjøp mat/frukt til fotball og håndb skole</t>
  </si>
  <si>
    <t>4206 - Innkjøp julenek</t>
  </si>
  <si>
    <t>4207 - Utgifter til dugnad</t>
  </si>
  <si>
    <t>4211 - Kostnader ved buypass / treningsavgift</t>
  </si>
  <si>
    <t>4214 - Innkjøp kakebokser</t>
  </si>
  <si>
    <t>4510 - Kostnader ved salg av julenek</t>
  </si>
  <si>
    <t>5395 - Dommerlisenser</t>
  </si>
  <si>
    <t>7141 - Treningsleir</t>
  </si>
  <si>
    <t>Håndball</t>
  </si>
  <si>
    <t>avd 15</t>
  </si>
  <si>
    <t>avd 16</t>
  </si>
  <si>
    <t xml:space="preserve"> Regnskapsrapport Allidrett</t>
  </si>
  <si>
    <t>3901 - Adm. Honorar fra gruppene</t>
  </si>
  <si>
    <t>løpskarusellen</t>
  </si>
  <si>
    <t>Allidrett</t>
  </si>
  <si>
    <t>avd 11</t>
  </si>
  <si>
    <t xml:space="preserve"> Regnskapsrapport E-sport</t>
  </si>
  <si>
    <t>Hittil I år</t>
  </si>
  <si>
    <t>E-sport</t>
  </si>
  <si>
    <t>avd 20</t>
  </si>
  <si>
    <t>Budsjett 2022</t>
  </si>
  <si>
    <t>Aktivitetspark</t>
  </si>
  <si>
    <t>Lys tennisbane</t>
  </si>
  <si>
    <t>Totalt budsjett 2022</t>
  </si>
  <si>
    <t>3510 - Tildelt Spillemidler</t>
  </si>
  <si>
    <t>3950 - Fordeling mellom gruppene</t>
  </si>
  <si>
    <t>5270 - Elektr kommunikasjon</t>
  </si>
  <si>
    <t>5290 - Motkonto 5250</t>
  </si>
  <si>
    <t>6400 - Leie maskiner</t>
  </si>
  <si>
    <t>6569 - Drift gressklipper</t>
  </si>
  <si>
    <t>7020 - Vedlikehold maskiner</t>
  </si>
  <si>
    <t>Lys gammel kunstgressbane</t>
  </si>
  <si>
    <t>Nye Idrettsparken</t>
  </si>
  <si>
    <t>Prosjekt</t>
  </si>
  <si>
    <t>avd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</si>
</sst>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_);_(@_)"/>
    <numFmt numFmtId="166" formatCode="_ * #,##0_ ;_ * \-#,##0_ ;_ * &quot;-&quot;??_ ;_ @_ "/>
    <numFmt numFmtId="167" formatCode="_-* #,##0_-;\-* #,##0_-;_-* &quot;-&quot;??_-;_-@_-"/>
    <numFmt numFmtId="168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20"/>
      <color theme="0" tint="-0.4999542222357860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theme="0" tint="-0.4999542222357860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20"/>
      <color rgb="FF7F7F7F"/>
      <name val="Calibri"/>
      <family val="2"/>
    </font>
    <font>
      <b/>
      <i/>
      <sz val="12"/>
      <color theme="0"/>
      <name val="Calibri"/>
      <family val="2"/>
    </font>
    <font>
      <sz val="11"/>
      <color theme="1"/>
      <name val="Calibri"/>
      <family val="2"/>
    </font>
    <font>
      <b/>
      <i/>
      <sz val="12"/>
      <color theme="1"/>
      <name val="Calibri"/>
      <family val="2"/>
    </font>
    <font>
      <b/>
      <i/>
      <sz val="16"/>
      <color theme="1"/>
      <name val="Calibri"/>
      <family val="2"/>
    </font>
    <font>
      <b/>
      <i/>
      <sz val="11"/>
      <color theme="1"/>
      <name val="Calibri"/>
      <family val="2"/>
    </font>
    <font>
      <b/>
      <i/>
      <sz val="20"/>
      <color rgb="FF7F7F7F"/>
      <name val="Calibri"/>
      <family val="2"/>
    </font>
    <font>
      <b/>
      <i/>
      <sz val="16"/>
      <color rgb="FF7F7F7F"/>
      <name val="Calibri"/>
      <family val="2"/>
    </font>
    <font>
      <b/>
      <i/>
      <sz val="12"/>
      <color theme="0"/>
      <name val="Calibri"/>
      <family val="2"/>
    </font>
    <font>
      <sz val="11"/>
      <color theme="1"/>
      <name val="Calibri"/>
      <family val="2"/>
    </font>
    <font>
      <b/>
      <i/>
      <sz val="12"/>
      <color theme="1"/>
      <name val="Calibri"/>
      <family val="2"/>
    </font>
    <font>
      <b/>
      <i/>
      <sz val="16"/>
      <color theme="1"/>
      <name val="Calibri"/>
      <family val="2"/>
    </font>
    <font>
      <b/>
      <i/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2" tint="-0.4999542222357860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57070"/>
        <bgColor rgb="FF757070"/>
      </patternFill>
    </fill>
    <fill>
      <patternFill patternType="solid">
        <fgColor rgb="FFFFD965"/>
        <bgColor rgb="FFFFD965"/>
      </patternFill>
    </fill>
    <fill>
      <patternFill patternType="solid">
        <fgColor rgb="FFFFE598"/>
        <bgColor rgb="FFFFE598"/>
      </patternFill>
    </fill>
    <fill>
      <patternFill patternType="solid">
        <fgColor rgb="FFFEF2CB"/>
        <bgColor rgb="FFFEF2CB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/>
    <xf numFmtId="0" fontId="3" fillId="2" borderId="2" xfId="0" applyFont="1" applyFill="1" applyBorder="1"/>
    <xf numFmtId="0" fontId="0" fillId="3" borderId="2" xfId="0" applyFill="1" applyBorder="1" applyAlignment="1">
      <alignment wrapText="1"/>
    </xf>
    <xf numFmtId="0" fontId="0" fillId="0" borderId="2" xfId="0" applyBorder="1"/>
    <xf numFmtId="0" fontId="5" fillId="3" borderId="3" xfId="0" applyFont="1" applyFill="1" applyBorder="1"/>
    <xf numFmtId="164" fontId="6" fillId="3" borderId="3" xfId="0" applyNumberFormat="1" applyFont="1" applyFill="1" applyBorder="1"/>
    <xf numFmtId="0" fontId="0" fillId="4" borderId="2" xfId="0" applyFill="1" applyBorder="1"/>
    <xf numFmtId="165" fontId="0" fillId="4" borderId="2" xfId="1" applyNumberFormat="1" applyFont="1" applyFill="1" applyBorder="1"/>
    <xf numFmtId="0" fontId="0" fillId="5" borderId="2" xfId="0" applyFill="1" applyBorder="1"/>
    <xf numFmtId="165" fontId="0" fillId="5" borderId="2" xfId="0" applyNumberFormat="1" applyFill="1" applyBorder="1"/>
    <xf numFmtId="0" fontId="4" fillId="3" borderId="4" xfId="0" applyFont="1" applyFill="1" applyBorder="1"/>
    <xf numFmtId="166" fontId="4" fillId="3" borderId="4" xfId="1" applyNumberFormat="1" applyFont="1" applyFill="1" applyBorder="1"/>
    <xf numFmtId="17" fontId="0" fillId="3" borderId="2" xfId="0" applyNumberFormat="1" applyFill="1" applyBorder="1" applyAlignment="1">
      <alignment wrapText="1"/>
    </xf>
    <xf numFmtId="0" fontId="7" fillId="3" borderId="5" xfId="0" applyFont="1" applyFill="1" applyBorder="1"/>
    <xf numFmtId="166" fontId="7" fillId="3" borderId="5" xfId="1" applyNumberFormat="1" applyFont="1" applyFill="1" applyBorder="1"/>
    <xf numFmtId="0" fontId="0" fillId="0" borderId="6" xfId="0" applyBorder="1"/>
    <xf numFmtId="0" fontId="0" fillId="0" borderId="7" xfId="0" applyBorder="1"/>
    <xf numFmtId="3" fontId="0" fillId="5" borderId="2" xfId="0" applyNumberFormat="1" applyFill="1" applyBorder="1"/>
    <xf numFmtId="0" fontId="0" fillId="0" borderId="0" xfId="0" applyAlignment="1">
      <alignment horizontal="center"/>
    </xf>
    <xf numFmtId="0" fontId="10" fillId="0" borderId="0" xfId="0" applyFont="1" applyAlignment="1">
      <alignment horizontal="left"/>
    </xf>
    <xf numFmtId="17" fontId="4" fillId="3" borderId="2" xfId="0" applyNumberFormat="1" applyFont="1" applyFill="1" applyBorder="1" applyAlignment="1">
      <alignment horizontal="center" wrapText="1"/>
    </xf>
    <xf numFmtId="17" fontId="4" fillId="3" borderId="2" xfId="0" applyNumberFormat="1" applyFont="1" applyFill="1" applyBorder="1" applyAlignment="1">
      <alignment horizontal="center"/>
    </xf>
    <xf numFmtId="165" fontId="0" fillId="4" borderId="2" xfId="1" applyNumberFormat="1" applyFont="1" applyFill="1" applyBorder="1" applyAlignment="1"/>
    <xf numFmtId="166" fontId="7" fillId="3" borderId="5" xfId="1" applyNumberFormat="1" applyFont="1" applyFill="1" applyBorder="1" applyAlignment="1"/>
    <xf numFmtId="166" fontId="4" fillId="3" borderId="4" xfId="1" applyNumberFormat="1" applyFont="1" applyFill="1" applyBorder="1" applyAlignment="1"/>
    <xf numFmtId="0" fontId="13" fillId="0" borderId="0" xfId="0" applyFont="1" applyAlignment="1">
      <alignment horizontal="left"/>
    </xf>
    <xf numFmtId="0" fontId="14" fillId="6" borderId="8" xfId="0" applyFont="1" applyFill="1" applyBorder="1"/>
    <xf numFmtId="0" fontId="14" fillId="6" borderId="9" xfId="0" applyFont="1" applyFill="1" applyBorder="1"/>
    <xf numFmtId="0" fontId="15" fillId="7" borderId="9" xfId="0" applyFont="1" applyFill="1" applyBorder="1" applyAlignment="1">
      <alignment wrapText="1"/>
    </xf>
    <xf numFmtId="17" fontId="16" fillId="7" borderId="9" xfId="0" applyNumberFormat="1" applyFont="1" applyFill="1" applyBorder="1" applyAlignment="1">
      <alignment horizontal="center" wrapText="1"/>
    </xf>
    <xf numFmtId="17" fontId="16" fillId="7" borderId="9" xfId="0" applyNumberFormat="1" applyFont="1" applyFill="1" applyBorder="1" applyAlignment="1">
      <alignment horizontal="center"/>
    </xf>
    <xf numFmtId="0" fontId="15" fillId="0" borderId="9" xfId="0" applyFont="1" applyBorder="1"/>
    <xf numFmtId="0" fontId="17" fillId="7" borderId="10" xfId="0" applyFont="1" applyFill="1" applyBorder="1"/>
    <xf numFmtId="164" fontId="15" fillId="7" borderId="10" xfId="0" applyNumberFormat="1" applyFont="1" applyFill="1" applyBorder="1"/>
    <xf numFmtId="0" fontId="15" fillId="8" borderId="9" xfId="0" applyFont="1" applyFill="1" applyBorder="1"/>
    <xf numFmtId="165" fontId="15" fillId="8" borderId="9" xfId="0" applyNumberFormat="1" applyFont="1" applyFill="1" applyBorder="1"/>
    <xf numFmtId="0" fontId="15" fillId="9" borderId="9" xfId="0" applyFont="1" applyFill="1" applyBorder="1"/>
    <xf numFmtId="165" fontId="15" fillId="9" borderId="9" xfId="0" applyNumberFormat="1" applyFont="1" applyFill="1" applyBorder="1"/>
    <xf numFmtId="0" fontId="18" fillId="7" borderId="11" xfId="0" applyFont="1" applyFill="1" applyBorder="1"/>
    <xf numFmtId="166" fontId="18" fillId="7" borderId="11" xfId="0" applyNumberFormat="1" applyFont="1" applyFill="1" applyBorder="1"/>
    <xf numFmtId="0" fontId="15" fillId="0" borderId="12" xfId="0" applyFont="1" applyBorder="1"/>
    <xf numFmtId="0" fontId="15" fillId="0" borderId="13" xfId="0" applyFont="1" applyBorder="1"/>
    <xf numFmtId="0" fontId="16" fillId="7" borderId="14" xfId="0" applyFont="1" applyFill="1" applyBorder="1"/>
    <xf numFmtId="166" fontId="16" fillId="7" borderId="14" xfId="0" applyNumberFormat="1" applyFont="1" applyFill="1" applyBorder="1"/>
    <xf numFmtId="3" fontId="2" fillId="0" borderId="0" xfId="1" applyNumberFormat="1" applyFont="1" applyAlignment="1">
      <alignment horizontal="left"/>
    </xf>
    <xf numFmtId="3" fontId="0" fillId="0" borderId="2" xfId="1" applyNumberFormat="1" applyFont="1" applyBorder="1"/>
    <xf numFmtId="3" fontId="5" fillId="3" borderId="3" xfId="1" applyNumberFormat="1" applyFont="1" applyFill="1" applyBorder="1"/>
    <xf numFmtId="3" fontId="0" fillId="4" borderId="2" xfId="1" applyNumberFormat="1" applyFont="1" applyFill="1" applyBorder="1"/>
    <xf numFmtId="3" fontId="0" fillId="5" borderId="2" xfId="1" applyNumberFormat="1" applyFont="1" applyFill="1" applyBorder="1"/>
    <xf numFmtId="3" fontId="7" fillId="3" borderId="5" xfId="1" applyNumberFormat="1" applyFont="1" applyFill="1" applyBorder="1"/>
    <xf numFmtId="3" fontId="0" fillId="0" borderId="7" xfId="1" applyNumberFormat="1" applyFont="1" applyBorder="1"/>
    <xf numFmtId="3" fontId="0" fillId="0" borderId="6" xfId="1" applyNumberFormat="1" applyFont="1" applyBorder="1"/>
    <xf numFmtId="3" fontId="4" fillId="3" borderId="4" xfId="1" applyNumberFormat="1" applyFont="1" applyFill="1" applyBorder="1"/>
    <xf numFmtId="3" fontId="0" fillId="0" borderId="0" xfId="1" applyNumberFormat="1" applyFont="1"/>
    <xf numFmtId="0" fontId="9" fillId="3" borderId="2" xfId="0" applyFont="1" applyFill="1" applyBorder="1" applyAlignment="1">
      <alignment horizontal="center" wrapText="1"/>
    </xf>
    <xf numFmtId="3" fontId="9" fillId="3" borderId="2" xfId="1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3" fontId="3" fillId="2" borderId="1" xfId="1" applyNumberFormat="1" applyFont="1" applyFill="1" applyBorder="1" applyAlignment="1">
      <alignment horizontal="center"/>
    </xf>
    <xf numFmtId="17" fontId="0" fillId="3" borderId="2" xfId="0" applyNumberFormat="1" applyFill="1" applyBorder="1"/>
    <xf numFmtId="0" fontId="9" fillId="0" borderId="0" xfId="0" applyFont="1"/>
    <xf numFmtId="165" fontId="0" fillId="0" borderId="2" xfId="0" applyNumberFormat="1" applyBorder="1"/>
    <xf numFmtId="165" fontId="0" fillId="0" borderId="0" xfId="0" applyNumberFormat="1"/>
    <xf numFmtId="167" fontId="0" fillId="0" borderId="0" xfId="1" applyNumberFormat="1" applyFont="1"/>
    <xf numFmtId="165" fontId="0" fillId="10" borderId="2" xfId="0" applyNumberFormat="1" applyFill="1" applyBorder="1"/>
    <xf numFmtId="167" fontId="0" fillId="11" borderId="0" xfId="1" applyNumberFormat="1" applyFont="1" applyFill="1"/>
    <xf numFmtId="0" fontId="7" fillId="3" borderId="1" xfId="0" applyFont="1" applyFill="1" applyBorder="1"/>
    <xf numFmtId="166" fontId="7" fillId="3" borderId="1" xfId="1" applyNumberFormat="1" applyFont="1" applyFill="1" applyBorder="1"/>
    <xf numFmtId="166" fontId="7" fillId="3" borderId="1" xfId="1" applyNumberFormat="1" applyFont="1" applyFill="1" applyBorder="1" applyAlignment="1"/>
    <xf numFmtId="168" fontId="0" fillId="0" borderId="0" xfId="2" applyNumberFormat="1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6" borderId="8" xfId="0" applyFont="1" applyFill="1" applyBorder="1"/>
    <xf numFmtId="0" fontId="21" fillId="6" borderId="9" xfId="0" applyFont="1" applyFill="1" applyBorder="1"/>
    <xf numFmtId="0" fontId="22" fillId="7" borderId="9" xfId="0" applyFont="1" applyFill="1" applyBorder="1" applyAlignment="1">
      <alignment wrapText="1"/>
    </xf>
    <xf numFmtId="17" fontId="23" fillId="7" borderId="9" xfId="0" applyNumberFormat="1" applyFont="1" applyFill="1" applyBorder="1" applyAlignment="1">
      <alignment horizontal="center" wrapText="1"/>
    </xf>
    <xf numFmtId="17" fontId="23" fillId="7" borderId="9" xfId="0" applyNumberFormat="1" applyFont="1" applyFill="1" applyBorder="1" applyAlignment="1">
      <alignment horizontal="center"/>
    </xf>
    <xf numFmtId="0" fontId="22" fillId="0" borderId="9" xfId="0" applyFont="1" applyBorder="1"/>
    <xf numFmtId="0" fontId="24" fillId="7" borderId="10" xfId="0" applyFont="1" applyFill="1" applyBorder="1"/>
    <xf numFmtId="164" fontId="22" fillId="7" borderId="10" xfId="0" applyNumberFormat="1" applyFont="1" applyFill="1" applyBorder="1"/>
    <xf numFmtId="0" fontId="22" fillId="8" borderId="9" xfId="0" applyFont="1" applyFill="1" applyBorder="1"/>
    <xf numFmtId="165" fontId="22" fillId="8" borderId="9" xfId="0" applyNumberFormat="1" applyFont="1" applyFill="1" applyBorder="1"/>
    <xf numFmtId="0" fontId="22" fillId="9" borderId="9" xfId="0" applyFont="1" applyFill="1" applyBorder="1"/>
    <xf numFmtId="165" fontId="22" fillId="9" borderId="9" xfId="0" applyNumberFormat="1" applyFont="1" applyFill="1" applyBorder="1"/>
    <xf numFmtId="0" fontId="25" fillId="7" borderId="11" xfId="0" applyFont="1" applyFill="1" applyBorder="1"/>
    <xf numFmtId="166" fontId="25" fillId="7" borderId="11" xfId="0" applyNumberFormat="1" applyFont="1" applyFill="1" applyBorder="1"/>
    <xf numFmtId="0" fontId="22" fillId="0" borderId="12" xfId="0" applyFont="1" applyBorder="1"/>
    <xf numFmtId="0" fontId="22" fillId="0" borderId="13" xfId="0" applyFont="1" applyBorder="1"/>
    <xf numFmtId="0" fontId="23" fillId="7" borderId="14" xfId="0" applyFont="1" applyFill="1" applyBorder="1"/>
    <xf numFmtId="166" fontId="23" fillId="7" borderId="14" xfId="0" applyNumberFormat="1" applyFont="1" applyFill="1" applyBorder="1"/>
    <xf numFmtId="3" fontId="3" fillId="2" borderId="1" xfId="0" applyNumberFormat="1" applyFont="1" applyFill="1" applyBorder="1"/>
    <xf numFmtId="3" fontId="0" fillId="3" borderId="2" xfId="0" applyNumberFormat="1" applyFill="1" applyBorder="1" applyAlignment="1">
      <alignment wrapText="1"/>
    </xf>
    <xf numFmtId="3" fontId="0" fillId="0" borderId="2" xfId="0" applyNumberFormat="1" applyBorder="1"/>
    <xf numFmtId="3" fontId="5" fillId="3" borderId="3" xfId="0" applyNumberFormat="1" applyFont="1" applyFill="1" applyBorder="1"/>
    <xf numFmtId="3" fontId="0" fillId="4" borderId="2" xfId="0" applyNumberFormat="1" applyFill="1" applyBorder="1"/>
    <xf numFmtId="3" fontId="7" fillId="3" borderId="1" xfId="0" applyNumberFormat="1" applyFont="1" applyFill="1" applyBorder="1"/>
    <xf numFmtId="3" fontId="4" fillId="3" borderId="4" xfId="0" applyNumberFormat="1" applyFont="1" applyFill="1" applyBorder="1"/>
    <xf numFmtId="3" fontId="0" fillId="0" borderId="0" xfId="0" applyNumberFormat="1"/>
    <xf numFmtId="3" fontId="3" fillId="2" borderId="1" xfId="0" applyNumberFormat="1" applyFont="1" applyFill="1" applyBorder="1" applyAlignment="1">
      <alignment wrapText="1"/>
    </xf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22777-BD14-49C4-9A42-1C2E3EEB4731}">
  <dimension ref="A2:M188"/>
  <sheetViews>
    <sheetView tabSelected="1" workbookViewId="0">
      <pane ySplit="5" topLeftCell="A6" activePane="bottomLeft" state="frozen"/>
      <selection pane="bottomLeft" activeCell="B187" sqref="B187"/>
    </sheetView>
  </sheetViews>
  <sheetFormatPr baseColWidth="10" defaultRowHeight="14.4" outlineLevelRow="1" x14ac:dyDescent="0.3"/>
  <cols>
    <col min="1" max="1" width="58.44140625" bestFit="1" customWidth="1"/>
    <col min="2" max="2" width="11.109375" style="55" bestFit="1" customWidth="1"/>
    <col min="3" max="3" width="12.6640625" style="55" bestFit="1" customWidth="1"/>
    <col min="4" max="4" width="9.88671875" style="55" bestFit="1" customWidth="1"/>
    <col min="5" max="5" width="12.33203125" style="55" bestFit="1" customWidth="1"/>
    <col min="6" max="6" width="8.6640625" style="55" bestFit="1" customWidth="1"/>
    <col min="7" max="7" width="11.88671875" style="55" bestFit="1" customWidth="1"/>
    <col min="8" max="9" width="10.109375" style="55" bestFit="1" customWidth="1"/>
    <col min="10" max="10" width="7.6640625" style="55" bestFit="1" customWidth="1"/>
    <col min="11" max="13" width="17.44140625" style="55" bestFit="1" customWidth="1"/>
  </cols>
  <sheetData>
    <row r="2" spans="1:13" ht="25.8" x14ac:dyDescent="0.5">
      <c r="A2" s="1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4" spans="1:13" s="20" customFormat="1" ht="15.6" x14ac:dyDescent="0.3">
      <c r="A4" s="59" t="s">
        <v>21</v>
      </c>
      <c r="B4" s="60" t="s">
        <v>157</v>
      </c>
      <c r="C4" s="60" t="s">
        <v>158</v>
      </c>
      <c r="D4" s="60" t="s">
        <v>234</v>
      </c>
      <c r="E4" s="60" t="s">
        <v>209</v>
      </c>
      <c r="F4" s="60" t="s">
        <v>213</v>
      </c>
      <c r="G4" s="60" t="s">
        <v>184</v>
      </c>
      <c r="H4" s="60" t="s">
        <v>205</v>
      </c>
      <c r="I4" s="60" t="s">
        <v>228</v>
      </c>
      <c r="J4" s="60" t="s">
        <v>171</v>
      </c>
      <c r="K4" s="60" t="s">
        <v>168</v>
      </c>
      <c r="L4" s="60" t="s">
        <v>238</v>
      </c>
      <c r="M4" s="60" t="s">
        <v>253</v>
      </c>
    </row>
    <row r="5" spans="1:13" s="58" customFormat="1" x14ac:dyDescent="0.3">
      <c r="A5" s="56"/>
      <c r="B5" s="57"/>
      <c r="C5" s="57" t="s">
        <v>187</v>
      </c>
      <c r="D5" s="57" t="s">
        <v>235</v>
      </c>
      <c r="E5" s="57" t="s">
        <v>210</v>
      </c>
      <c r="F5" s="57" t="s">
        <v>214</v>
      </c>
      <c r="G5" s="57" t="s">
        <v>189</v>
      </c>
      <c r="H5" s="57" t="s">
        <v>229</v>
      </c>
      <c r="I5" s="57" t="s">
        <v>230</v>
      </c>
      <c r="J5" s="57" t="s">
        <v>188</v>
      </c>
      <c r="K5" s="57" t="s">
        <v>186</v>
      </c>
      <c r="L5" s="57" t="s">
        <v>239</v>
      </c>
      <c r="M5" s="57" t="s">
        <v>254</v>
      </c>
    </row>
    <row r="6" spans="1:13" x14ac:dyDescent="0.3">
      <c r="A6" s="5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</row>
    <row r="7" spans="1:13" ht="21" x14ac:dyDescent="0.4">
      <c r="A7" s="6" t="s">
        <v>3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3" collapsed="1" x14ac:dyDescent="0.3">
      <c r="A8" s="8" t="s">
        <v>4</v>
      </c>
      <c r="B8" s="49">
        <f t="shared" ref="B8:B49" si="0">SUM(C8:M8)</f>
        <v>-7085200.666666667</v>
      </c>
      <c r="C8" s="49">
        <f t="shared" ref="C8:K8" si="1">SUM(C9:C26)</f>
        <v>-1759999.6666666667</v>
      </c>
      <c r="D8" s="49">
        <f>SUM(D9:D26)</f>
        <v>-13500</v>
      </c>
      <c r="E8" s="49">
        <f>SUM(E9:E26)</f>
        <v>-832362</v>
      </c>
      <c r="F8" s="49">
        <f>SUM(F9:F26)</f>
        <v>-138703</v>
      </c>
      <c r="G8" s="49">
        <f>SUM(G9:G26)</f>
        <v>-694005</v>
      </c>
      <c r="H8" s="49">
        <f>SUM(H9:H26)</f>
        <v>-2536640</v>
      </c>
      <c r="I8" s="49">
        <f t="shared" ref="I8" si="2">SUM(I9:I26)</f>
        <v>-930189</v>
      </c>
      <c r="J8" s="49">
        <f>SUM(J9:J26)</f>
        <v>-43000</v>
      </c>
      <c r="K8" s="49">
        <f t="shared" si="1"/>
        <v>-47000</v>
      </c>
      <c r="L8" s="49">
        <f>SUM(L9:L26)</f>
        <v>-89802</v>
      </c>
      <c r="M8" s="49">
        <f>SUM(M9:M26)</f>
        <v>0</v>
      </c>
    </row>
    <row r="9" spans="1:13" hidden="1" outlineLevel="1" x14ac:dyDescent="0.3">
      <c r="A9" s="10" t="s">
        <v>22</v>
      </c>
      <c r="B9" s="50">
        <f t="shared" si="0"/>
        <v>-806000</v>
      </c>
      <c r="C9" s="50">
        <f>SUMIF(Hovedlaget!B:B,'Samlet budsjett'!A9,Hovedlaget!AB:AB)</f>
        <v>-806000</v>
      </c>
      <c r="D9" s="50">
        <f>SUMIF(Allidrett!B:B,'Samlet budsjett'!A9,Allidrett!AB:AB)</f>
        <v>0</v>
      </c>
      <c r="E9" s="50">
        <f>SUMIF(Bueskyting!B:B,'Samlet budsjett'!A9,Bueskyting!AB:AB)</f>
        <v>0</v>
      </c>
      <c r="F9" s="50">
        <f>SUMIF(Tennis!B:B,'Samlet budsjett'!A9,Tennis!AB:AB)</f>
        <v>0</v>
      </c>
      <c r="G9" s="50">
        <f>SUMIF(Svømming!B:B,'Samlet budsjett'!A9,Svømming!AB:AB)</f>
        <v>0</v>
      </c>
      <c r="H9" s="50">
        <f>SUMIF(Fotball!B:B,'Samlet budsjett'!A9,Fotball!AB:AB)</f>
        <v>0</v>
      </c>
      <c r="I9" s="50">
        <f>SUMIF(Håndball!B:B,'Samlet budsjett'!A9,Håndball!AB:AB)</f>
        <v>0</v>
      </c>
      <c r="J9" s="50">
        <f>SUMIF(Futsal!B:B,'Samlet budsjett'!A:A,Futsal!AB:AB)</f>
        <v>0</v>
      </c>
      <c r="K9" s="50">
        <f>SUMIF('Tur og Friluftsliv'!$B:$B,'Samlet budsjett'!A9,'Tur og Friluftsliv'!$AB:$AB)</f>
        <v>0</v>
      </c>
      <c r="L9" s="50">
        <f>SUMIF('E-sport'!B:B,'Samlet budsjett'!A9,'E-sport'!AB:AB)</f>
        <v>0</v>
      </c>
      <c r="M9" s="50">
        <f>SUMIF(Prosjekt!B:B,'Samlet budsjett'!A9,Prosjekt!G:G)</f>
        <v>0</v>
      </c>
    </row>
    <row r="10" spans="1:13" hidden="1" outlineLevel="1" collapsed="1" x14ac:dyDescent="0.3">
      <c r="A10" s="10" t="s">
        <v>23</v>
      </c>
      <c r="B10" s="50">
        <f t="shared" si="0"/>
        <v>-107000</v>
      </c>
      <c r="C10" s="50">
        <f>SUMIF(Hovedlaget!B:B,'Samlet budsjett'!A10,Hovedlaget!AB:AB)</f>
        <v>711000</v>
      </c>
      <c r="D10" s="50">
        <f>SUMIF(Allidrett!B:B,'Samlet budsjett'!A10,Allidrett!AB:AB)</f>
        <v>0</v>
      </c>
      <c r="E10" s="50">
        <f>SUMIF(Bueskyting!B:B,'Samlet budsjett'!A10,Bueskyting!AB:AB)</f>
        <v>-63000</v>
      </c>
      <c r="F10" s="50">
        <f>SUMIF(Tennis!B:B,'Samlet budsjett'!A10,Tennis!AB:AB)</f>
        <v>-28000</v>
      </c>
      <c r="G10" s="50">
        <f>SUMIF(Svømming!B:B,'Samlet budsjett'!A10,Svømming!AB:AB)</f>
        <v>-28000</v>
      </c>
      <c r="H10" s="50">
        <f>SUMIF(Fotball!B:B,'Samlet budsjett'!A10,Fotball!AB:AB)</f>
        <v>-460000</v>
      </c>
      <c r="I10" s="50">
        <f>SUMIF(Håndball!B:B,'Samlet budsjett'!A10,Håndball!AB:AB)</f>
        <v>-140000</v>
      </c>
      <c r="J10" s="50">
        <f>SUMIF(Futsal!B:B,'Samlet budsjett'!A:A,Futsal!AB:AB)</f>
        <v>-43000</v>
      </c>
      <c r="K10" s="50">
        <f>SUMIF('Tur og Friluftsliv'!$B:$B,'Samlet budsjett'!A10,'Tur og Friluftsliv'!$AB:$AB)</f>
        <v>-28000</v>
      </c>
      <c r="L10" s="50">
        <f>SUMIF('E-sport'!B:B,'Samlet budsjett'!A10,'E-sport'!AB:AB)</f>
        <v>-28000</v>
      </c>
      <c r="M10" s="50">
        <f>SUMIF(Prosjekt!B:B,'Samlet budsjett'!A10,Prosjekt!G:G)</f>
        <v>0</v>
      </c>
    </row>
    <row r="11" spans="1:13" hidden="1" outlineLevel="1" collapsed="1" x14ac:dyDescent="0.3">
      <c r="A11" s="10" t="s">
        <v>24</v>
      </c>
      <c r="B11" s="50">
        <f t="shared" si="0"/>
        <v>-829000</v>
      </c>
      <c r="C11" s="50">
        <f>SUMIF(Hovedlaget!B:B,'Samlet budsjett'!A11,Hovedlaget!AB:AB)</f>
        <v>-500000</v>
      </c>
      <c r="D11" s="50">
        <f>SUMIF(Allidrett!B:B,'Samlet budsjett'!A11,Allidrett!AB:AB)</f>
        <v>-5500</v>
      </c>
      <c r="E11" s="50">
        <f>SUMIF(Bueskyting!B:B,'Samlet budsjett'!A11,Bueskyting!AB:AB)</f>
        <v>0</v>
      </c>
      <c r="F11" s="50">
        <f>SUMIF(Tennis!B:B,'Samlet budsjett'!A11,Tennis!AB:AB)</f>
        <v>0</v>
      </c>
      <c r="G11" s="50">
        <f>SUMIF(Svømming!B:B,'Samlet budsjett'!A11,Svømming!AB:AB)</f>
        <v>-24500</v>
      </c>
      <c r="H11" s="50">
        <f>SUMIF(Fotball!B:B,'Samlet budsjett'!A11,Fotball!AB:AB)</f>
        <v>-210000</v>
      </c>
      <c r="I11" s="50">
        <f>SUMIF(Håndball!B:B,'Samlet budsjett'!A11,Håndball!AB:AB)</f>
        <v>-70000</v>
      </c>
      <c r="J11" s="50">
        <f>SUMIF(Futsal!B:B,'Samlet budsjett'!A:A,Futsal!AB:AB)</f>
        <v>0</v>
      </c>
      <c r="K11" s="50">
        <f>SUMIF('Tur og Friluftsliv'!$B:$B,'Samlet budsjett'!A11,'Tur og Friluftsliv'!$AB:$AB)</f>
        <v>-19000</v>
      </c>
      <c r="L11" s="50">
        <f>SUMIF('E-sport'!B:B,'Samlet budsjett'!A11,'E-sport'!AB:AB)</f>
        <v>0</v>
      </c>
      <c r="M11" s="50">
        <f>SUMIF(Prosjekt!B:B,'Samlet budsjett'!A11,Prosjekt!G:G)</f>
        <v>0</v>
      </c>
    </row>
    <row r="12" spans="1:13" hidden="1" outlineLevel="1" x14ac:dyDescent="0.3">
      <c r="A12" s="10" t="s">
        <v>192</v>
      </c>
      <c r="B12" s="50">
        <f t="shared" si="0"/>
        <v>-185000</v>
      </c>
      <c r="C12" s="50">
        <f>SUMIF(Hovedlaget!B:B,'Samlet budsjett'!A12,Hovedlaget!AB:AB)</f>
        <v>0</v>
      </c>
      <c r="D12" s="50">
        <f>SUMIF(Allidrett!B:B,'Samlet budsjett'!A12,Allidrett!AB:AB)</f>
        <v>0</v>
      </c>
      <c r="E12" s="50">
        <f>SUMIF(Bueskyting!B:B,'Samlet budsjett'!A12,Bueskyting!AB:AB)</f>
        <v>0</v>
      </c>
      <c r="F12" s="50">
        <f>SUMIF(Tennis!B:B,'Samlet budsjett'!A12,Tennis!AB:AB)</f>
        <v>0</v>
      </c>
      <c r="G12" s="50">
        <f>SUMIF(Svømming!B:B,'Samlet budsjett'!A12,Svømming!AB:AB)</f>
        <v>0</v>
      </c>
      <c r="H12" s="50">
        <f>SUMIF(Fotball!B:B,'Samlet budsjett'!A12,Fotball!AB:AB)</f>
        <v>-100000</v>
      </c>
      <c r="I12" s="50">
        <v>-85000</v>
      </c>
      <c r="J12" s="50">
        <f>SUMIF(Futsal!B:B,'Samlet budsjett'!A:A,Futsal!AB:AB)</f>
        <v>0</v>
      </c>
      <c r="K12" s="50">
        <f>SUMIF('Tur og Friluftsliv'!$B:$B,'Samlet budsjett'!A12,'Tur og Friluftsliv'!$AB:$AB)</f>
        <v>0</v>
      </c>
      <c r="L12" s="50">
        <f>SUMIF('E-sport'!B:B,'Samlet budsjett'!A12,'E-sport'!AB:AB)</f>
        <v>0</v>
      </c>
      <c r="M12" s="50">
        <f>SUMIF(Prosjekt!B:B,'Samlet budsjett'!A12,Prosjekt!G:G)</f>
        <v>0</v>
      </c>
    </row>
    <row r="13" spans="1:13" hidden="1" outlineLevel="1" x14ac:dyDescent="0.3">
      <c r="A13" s="84" t="s">
        <v>217</v>
      </c>
      <c r="B13" s="50">
        <f t="shared" si="0"/>
        <v>-35000</v>
      </c>
      <c r="C13" s="50">
        <f>SUMIF(Hovedlaget!B:B,'Samlet budsjett'!A13,Hovedlaget!AB:AB)</f>
        <v>0</v>
      </c>
      <c r="D13" s="50">
        <f>SUMIF(Allidrett!B:B,'Samlet budsjett'!A13,Allidrett!AB:AB)</f>
        <v>0</v>
      </c>
      <c r="E13" s="50">
        <f>SUMIF(Bueskyting!B:B,'Samlet budsjett'!A13,Bueskyting!AB:AB)</f>
        <v>0</v>
      </c>
      <c r="F13" s="50">
        <f>SUMIF(Tennis!B:B,'Samlet budsjett'!A13,Tennis!AB:AB)</f>
        <v>0</v>
      </c>
      <c r="G13" s="50">
        <f>SUMIF(Svømming!B:B,'Samlet budsjett'!A13,Svømming!AB:AB)</f>
        <v>0</v>
      </c>
      <c r="H13" s="50">
        <f>SUMIF(Fotball!B:B,'Samlet budsjett'!A13,Fotball!AB:AB)</f>
        <v>0</v>
      </c>
      <c r="I13" s="50">
        <f>SUMIF(Håndball!B:B,'Samlet budsjett'!A13,Håndball!AB:AB)</f>
        <v>-35000</v>
      </c>
      <c r="J13" s="50">
        <f>SUMIF(Futsal!B:B,'Samlet budsjett'!A:A,Futsal!AB:AB)</f>
        <v>0</v>
      </c>
      <c r="K13" s="50">
        <f>SUMIF('Tur og Friluftsliv'!$B:$B,'Samlet budsjett'!A13,'Tur og Friluftsliv'!$AB:$AB)</f>
        <v>0</v>
      </c>
      <c r="L13" s="50">
        <f>SUMIF('E-sport'!B:B,'Samlet budsjett'!A13,'E-sport'!AB:AB)</f>
        <v>0</v>
      </c>
      <c r="M13" s="50">
        <f>SUMIF(Prosjekt!B:B,'Samlet budsjett'!A13,Prosjekt!G:G)</f>
        <v>0</v>
      </c>
    </row>
    <row r="14" spans="1:13" hidden="1" outlineLevel="1" x14ac:dyDescent="0.3">
      <c r="A14" s="84" t="s">
        <v>207</v>
      </c>
      <c r="B14" s="50">
        <f t="shared" si="0"/>
        <v>-40000</v>
      </c>
      <c r="C14" s="50">
        <f>SUMIF(Hovedlaget!B:B,'Samlet budsjett'!A14,Hovedlaget!AB:AB)</f>
        <v>0</v>
      </c>
      <c r="D14" s="50">
        <f>SUMIF(Allidrett!B:B,'Samlet budsjett'!A14,Allidrett!AB:AB)</f>
        <v>0</v>
      </c>
      <c r="E14" s="50">
        <f>SUMIF(Bueskyting!B:B,'Samlet budsjett'!A14,Bueskyting!AB:AB)</f>
        <v>0</v>
      </c>
      <c r="F14" s="50">
        <f>SUMIF(Tennis!B:B,'Samlet budsjett'!A14,Tennis!AB:AB)</f>
        <v>0</v>
      </c>
      <c r="G14" s="50">
        <f>SUMIF(Svømming!B:B,'Samlet budsjett'!A14,Svømming!AB:AB)</f>
        <v>0</v>
      </c>
      <c r="H14" s="50">
        <f>SUMIF(Fotball!B:B,'Samlet budsjett'!A14,Fotball!AB:AB)</f>
        <v>0</v>
      </c>
      <c r="I14" s="50">
        <f>SUMIF(Håndball!B:B,'Samlet budsjett'!A14,Håndball!AB:AB)</f>
        <v>-40000</v>
      </c>
      <c r="J14" s="50">
        <f>SUMIF(Futsal!B:B,'Samlet budsjett'!A:A,Futsal!AB:AB)</f>
        <v>0</v>
      </c>
      <c r="K14" s="50">
        <f>SUMIF('Tur og Friluftsliv'!$B:$B,'Samlet budsjett'!A14,'Tur og Friluftsliv'!$AB:$AB)</f>
        <v>0</v>
      </c>
      <c r="L14" s="50">
        <f>SUMIF('E-sport'!B:B,'Samlet budsjett'!A14,'E-sport'!AB:AB)</f>
        <v>0</v>
      </c>
      <c r="M14" s="50">
        <f>SUMIF(Prosjekt!B:B,'Samlet budsjett'!A14,Prosjekt!G:G)</f>
        <v>0</v>
      </c>
    </row>
    <row r="15" spans="1:13" hidden="1" outlineLevel="1" collapsed="1" x14ac:dyDescent="0.3">
      <c r="A15" s="10" t="s">
        <v>25</v>
      </c>
      <c r="B15" s="50">
        <f t="shared" si="0"/>
        <v>-370000.66666666669</v>
      </c>
      <c r="C15" s="50">
        <f>SUMIF(Hovedlaget!B:B,'Samlet budsjett'!A15,Hovedlaget!AB:AB)</f>
        <v>-229999.66666666669</v>
      </c>
      <c r="D15" s="50">
        <f>SUMIF(Allidrett!B:B,'Samlet budsjett'!A15,Allidrett!AB:AB)</f>
        <v>0</v>
      </c>
      <c r="E15" s="50">
        <f>SUMIF(Bueskyting!B:B,'Samlet budsjett'!A15,Bueskyting!AB:AB)</f>
        <v>-2162</v>
      </c>
      <c r="F15" s="50">
        <f>SUMIF(Tennis!B:B,'Samlet budsjett'!A15,Tennis!AB:AB)</f>
        <v>-2703</v>
      </c>
      <c r="G15" s="50">
        <f>SUMIF(Svømming!B:B,'Samlet budsjett'!A15,Svømming!AB:AB)</f>
        <v>-44505</v>
      </c>
      <c r="H15" s="50">
        <f>SUMIF(Fotball!B:B,'Samlet budsjett'!A15,Fotball!AB:AB)</f>
        <v>-59640</v>
      </c>
      <c r="I15" s="50">
        <f>SUMIF(Håndball!B:B,'Samlet budsjett'!A15,Håndball!AB:AB)</f>
        <v>-29189</v>
      </c>
      <c r="J15" s="50">
        <f>SUMIF(Futsal!B:B,'Samlet budsjett'!A:A,Futsal!AB:AB)</f>
        <v>0</v>
      </c>
      <c r="K15" s="50">
        <f>SUMIF('Tur og Friluftsliv'!$B:$B,'Samlet budsjett'!A15,'Tur og Friluftsliv'!$AB:$AB)</f>
        <v>0</v>
      </c>
      <c r="L15" s="50">
        <f>SUMIF('E-sport'!B:B,'Samlet budsjett'!A15,'E-sport'!AB:AB)</f>
        <v>-1802</v>
      </c>
      <c r="M15" s="50">
        <f>SUMIF(Prosjekt!B:B,'Samlet budsjett'!A15,Prosjekt!G:G)</f>
        <v>0</v>
      </c>
    </row>
    <row r="16" spans="1:13" hidden="1" outlineLevel="1" collapsed="1" x14ac:dyDescent="0.3">
      <c r="A16" s="10" t="s">
        <v>26</v>
      </c>
      <c r="B16" s="50">
        <f t="shared" si="0"/>
        <v>-400000</v>
      </c>
      <c r="C16" s="50">
        <f>SUMIF(Hovedlaget!B:B,'Samlet budsjett'!A16,Hovedlaget!AB:AB)</f>
        <v>-400000</v>
      </c>
      <c r="D16" s="50">
        <f>SUMIF(Allidrett!B:B,'Samlet budsjett'!A16,Allidrett!AB:AB)</f>
        <v>0</v>
      </c>
      <c r="E16" s="50">
        <f>SUMIF(Bueskyting!B:B,'Samlet budsjett'!A16,Bueskyting!AB:AB)</f>
        <v>0</v>
      </c>
      <c r="F16" s="50">
        <f>SUMIF(Tennis!B:B,'Samlet budsjett'!A16,Tennis!AB:AB)</f>
        <v>0</v>
      </c>
      <c r="G16" s="50">
        <f>SUMIF(Svømming!B:B,'Samlet budsjett'!A16,Svømming!AB:AB)</f>
        <v>0</v>
      </c>
      <c r="H16" s="50">
        <f>SUMIF(Fotball!B:B,'Samlet budsjett'!A16,Fotball!AB:AB)</f>
        <v>0</v>
      </c>
      <c r="I16" s="50">
        <f>SUMIF(Håndball!B:B,'Samlet budsjett'!A16,Håndball!AB:AB)</f>
        <v>0</v>
      </c>
      <c r="J16" s="50">
        <f>SUMIF(Futsal!B:B,'Samlet budsjett'!A:A,Futsal!AB:AB)</f>
        <v>0</v>
      </c>
      <c r="K16" s="50">
        <f>SUMIF('Tur og Friluftsliv'!$B:$B,'Samlet budsjett'!A16,'Tur og Friluftsliv'!$AB:$AB)</f>
        <v>0</v>
      </c>
      <c r="L16" s="50">
        <f>SUMIF('E-sport'!B:B,'Samlet budsjett'!A16,'E-sport'!AB:AB)</f>
        <v>0</v>
      </c>
      <c r="M16" s="50">
        <f>SUMIF(Prosjekt!B:B,'Samlet budsjett'!A16,Prosjekt!G:G)</f>
        <v>0</v>
      </c>
    </row>
    <row r="17" spans="1:13" hidden="1" outlineLevel="1" x14ac:dyDescent="0.3">
      <c r="A17" s="38" t="s">
        <v>173</v>
      </c>
      <c r="B17" s="50">
        <f t="shared" si="0"/>
        <v>-1724200</v>
      </c>
      <c r="C17" s="50">
        <f>SUMIF(Hovedlaget!B:B,'Samlet budsjett'!A17,Hovedlaget!AB:AB)</f>
        <v>0</v>
      </c>
      <c r="D17" s="50">
        <f>SUMIF(Allidrett!B:B,'Samlet budsjett'!A17,Allidrett!AB:AB)</f>
        <v>0</v>
      </c>
      <c r="E17" s="50">
        <f>SUMIF(Bueskyting!B:B,'Samlet budsjett'!A17,Bueskyting!AB:AB)</f>
        <v>-39200</v>
      </c>
      <c r="F17" s="50">
        <f>SUMIF(Tennis!B:B,'Samlet budsjett'!A17,Tennis!AB:AB)</f>
        <v>-53000</v>
      </c>
      <c r="G17" s="50">
        <f>SUMIF(Svømming!B:B,'Samlet budsjett'!A17,Svømming!AB:AB)</f>
        <v>-472000</v>
      </c>
      <c r="H17" s="50">
        <f>SUMIF(Fotball!B:B,'Samlet budsjett'!A17,Fotball!AB:AB)</f>
        <v>-880000</v>
      </c>
      <c r="I17" s="50">
        <f>SUMIF(Håndball!B:B,'Samlet budsjett'!A17,Håndball!AB:AB)</f>
        <v>-220000</v>
      </c>
      <c r="J17" s="50">
        <f>SUMIF(Futsal!B:B,'Samlet budsjett'!A:A,Futsal!AB:AB)</f>
        <v>0</v>
      </c>
      <c r="K17" s="50">
        <f>SUMIF('Tur og Friluftsliv'!$B:$B,'Samlet budsjett'!A17,'Tur og Friluftsliv'!$AB:$AB)</f>
        <v>0</v>
      </c>
      <c r="L17" s="50">
        <f>SUMIF('E-sport'!B:B,'Samlet budsjett'!A17,'E-sport'!AB:AB)</f>
        <v>-60000</v>
      </c>
      <c r="M17" s="50">
        <f>SUMIF(Prosjekt!B:B,'Samlet budsjett'!A17,Prosjekt!G:G)</f>
        <v>0</v>
      </c>
    </row>
    <row r="18" spans="1:13" hidden="1" outlineLevel="1" x14ac:dyDescent="0.3">
      <c r="A18" s="10" t="s">
        <v>160</v>
      </c>
      <c r="B18" s="50">
        <f t="shared" si="0"/>
        <v>-803000</v>
      </c>
      <c r="C18" s="50">
        <f>SUMIF(Hovedlaget!B:B,'Samlet budsjett'!A18,Hovedlaget!AB:AB)</f>
        <v>0</v>
      </c>
      <c r="D18" s="50">
        <f>SUMIF(Allidrett!B:B,'Samlet budsjett'!A18,Allidrett!AB:AB)</f>
        <v>0</v>
      </c>
      <c r="E18" s="50">
        <f>SUMIF(Bueskyting!B:B,'Samlet budsjett'!A18,Bueskyting!AB:AB)</f>
        <v>-728000</v>
      </c>
      <c r="F18" s="50">
        <f>SUMIF(Tennis!B:B,'Samlet budsjett'!A18,Tennis!AB:AB)</f>
        <v>0</v>
      </c>
      <c r="G18" s="50">
        <f>SUMIF(Svømming!B:B,'Samlet budsjett'!A18,Svømming!AB:AB)</f>
        <v>0</v>
      </c>
      <c r="H18" s="50">
        <f>SUMIF(Fotball!B:B,'Samlet budsjett'!A18,Fotball!AB:AB)</f>
        <v>-75000</v>
      </c>
      <c r="I18" s="50">
        <f>SUMIF(Håndball!B:B,'Samlet budsjett'!A18,Håndball!AB:AB)</f>
        <v>0</v>
      </c>
      <c r="J18" s="50">
        <f>SUMIF(Futsal!B:B,'Samlet budsjett'!A:A,Futsal!AB:AB)</f>
        <v>0</v>
      </c>
      <c r="K18" s="50">
        <f>SUMIF('Tur og Friluftsliv'!$B:$B,'Samlet budsjett'!A18,'Tur og Friluftsliv'!$AB:$AB)</f>
        <v>0</v>
      </c>
      <c r="L18" s="50">
        <f>SUMIF('E-sport'!B:B,'Samlet budsjett'!A18,'E-sport'!AB:AB)</f>
        <v>0</v>
      </c>
      <c r="M18" s="50">
        <f>SUMIF(Prosjekt!B:B,'Samlet budsjett'!A18,Prosjekt!G:G)</f>
        <v>0</v>
      </c>
    </row>
    <row r="19" spans="1:13" hidden="1" outlineLevel="1" collapsed="1" x14ac:dyDescent="0.3">
      <c r="A19" s="10" t="s">
        <v>27</v>
      </c>
      <c r="B19" s="50">
        <f t="shared" si="0"/>
        <v>-651000</v>
      </c>
      <c r="C19" s="50">
        <f>SUMIF(Hovedlaget!B:B,'Samlet budsjett'!A19,Hovedlaget!AB:AB)</f>
        <v>0</v>
      </c>
      <c r="D19" s="50">
        <f>SUMIF(Allidrett!B:B,'Samlet budsjett'!A19,Allidrett!AB:AB)</f>
        <v>-8000</v>
      </c>
      <c r="E19" s="50">
        <f>SUMIF(Bueskyting!B:B,'Samlet budsjett'!A19,Bueskyting!AB:AB)</f>
        <v>0</v>
      </c>
      <c r="F19" s="50">
        <f>SUMIF(Tennis!B:B,'Samlet budsjett'!A19,Tennis!AB:AB)</f>
        <v>0</v>
      </c>
      <c r="G19" s="50">
        <f>SUMIF(Svømming!B:B,'Samlet budsjett'!A19,Svømming!AB:AB)</f>
        <v>0</v>
      </c>
      <c r="H19" s="50">
        <f>SUMIF(Fotball!B:B,'Samlet budsjett'!A19,Fotball!AB:AB)</f>
        <v>-607000</v>
      </c>
      <c r="I19" s="50">
        <f>SUMIF(Håndball!B:B,'Samlet budsjett'!A19,Håndball!AB:AB)</f>
        <v>-36000</v>
      </c>
      <c r="J19" s="50">
        <f>SUMIF(Futsal!B:B,'Samlet budsjett'!A:A,Futsal!AB:AB)</f>
        <v>0</v>
      </c>
      <c r="K19" s="50">
        <f>SUMIF('Tur og Friluftsliv'!$B:$B,'Samlet budsjett'!A19,'Tur og Friluftsliv'!$AB:$AB)</f>
        <v>0</v>
      </c>
      <c r="L19" s="50">
        <f>SUMIF('E-sport'!B:B,'Samlet budsjett'!A19,'E-sport'!AB:AB)</f>
        <v>0</v>
      </c>
      <c r="M19" s="50">
        <f>SUMIF(Prosjekt!B:B,'Samlet budsjett'!A19,Prosjekt!G:G)</f>
        <v>0</v>
      </c>
    </row>
    <row r="20" spans="1:13" hidden="1" outlineLevel="1" x14ac:dyDescent="0.3">
      <c r="A20" s="84" t="s">
        <v>218</v>
      </c>
      <c r="B20" s="50">
        <f t="shared" si="0"/>
        <v>-95000</v>
      </c>
      <c r="C20" s="50">
        <f>SUMIF(Hovedlaget!B:B,'Samlet budsjett'!A20,Hovedlaget!AB:AB)</f>
        <v>0</v>
      </c>
      <c r="D20" s="50">
        <f>SUMIF(Allidrett!B:B,'Samlet budsjett'!A20,Allidrett!AB:AB)</f>
        <v>0</v>
      </c>
      <c r="E20" s="50">
        <f>SUMIF(Bueskyting!B:B,'Samlet budsjett'!A20,Bueskyting!AB:AB)</f>
        <v>0</v>
      </c>
      <c r="F20" s="50">
        <f>SUMIF(Tennis!B:B,'Samlet budsjett'!A20,Tennis!AB:AB)</f>
        <v>0</v>
      </c>
      <c r="G20" s="50">
        <f>SUMIF(Svømming!B:B,'Samlet budsjett'!A20,Svømming!AB:AB)</f>
        <v>0</v>
      </c>
      <c r="H20" s="50">
        <f>SUMIF(Fotball!B:B,'Samlet budsjett'!A20,Fotball!AB:AB)</f>
        <v>0</v>
      </c>
      <c r="I20" s="50">
        <f>SUMIF(Håndball!B:B,'Samlet budsjett'!A20,Håndball!AB:AB)</f>
        <v>-95000</v>
      </c>
      <c r="J20" s="50">
        <f>SUMIF(Futsal!B:B,'Samlet budsjett'!A:A,Futsal!AB:AB)</f>
        <v>0</v>
      </c>
      <c r="K20" s="50">
        <f>SUMIF('Tur og Friluftsliv'!$B:$B,'Samlet budsjett'!A20,'Tur og Friluftsliv'!$AB:$AB)</f>
        <v>0</v>
      </c>
      <c r="L20" s="50">
        <f>SUMIF('E-sport'!B:B,'Samlet budsjett'!A20,'E-sport'!AB:AB)</f>
        <v>0</v>
      </c>
      <c r="M20" s="50">
        <f>SUMIF(Prosjekt!B:B,'Samlet budsjett'!A20,Prosjekt!G:G)</f>
        <v>0</v>
      </c>
    </row>
    <row r="21" spans="1:13" hidden="1" outlineLevel="1" x14ac:dyDescent="0.3">
      <c r="A21" s="84" t="s">
        <v>219</v>
      </c>
      <c r="B21" s="50">
        <f t="shared" si="0"/>
        <v>-100000</v>
      </c>
      <c r="C21" s="50">
        <f>SUMIF(Hovedlaget!B:B,'Samlet budsjett'!A21,Hovedlaget!AB:AB)</f>
        <v>0</v>
      </c>
      <c r="D21" s="50">
        <f>SUMIF(Allidrett!B:B,'Samlet budsjett'!A21,Allidrett!AB:AB)</f>
        <v>0</v>
      </c>
      <c r="E21" s="50">
        <f>SUMIF(Bueskyting!B:B,'Samlet budsjett'!A21,Bueskyting!AB:AB)</f>
        <v>0</v>
      </c>
      <c r="F21" s="50">
        <f>SUMIF(Tennis!B:B,'Samlet budsjett'!A21,Tennis!AB:AB)</f>
        <v>0</v>
      </c>
      <c r="G21" s="50">
        <f>SUMIF(Svømming!B:B,'Samlet budsjett'!A21,Svømming!AB:AB)</f>
        <v>0</v>
      </c>
      <c r="H21" s="50">
        <f>SUMIF(Fotball!B:B,'Samlet budsjett'!A21,Fotball!AB:AB)</f>
        <v>0</v>
      </c>
      <c r="I21" s="50">
        <f>SUMIF(Håndball!B:B,'Samlet budsjett'!A21,Håndball!AB:AB)</f>
        <v>-100000</v>
      </c>
      <c r="J21" s="50">
        <f>SUMIF(Futsal!B:B,'Samlet budsjett'!A:A,Futsal!AB:AB)</f>
        <v>0</v>
      </c>
      <c r="K21" s="50">
        <f>SUMIF('Tur og Friluftsliv'!$B:$B,'Samlet budsjett'!A21,'Tur og Friluftsliv'!$AB:$AB)</f>
        <v>0</v>
      </c>
      <c r="L21" s="50">
        <f>SUMIF('E-sport'!B:B,'Samlet budsjett'!A21,'E-sport'!AB:AB)</f>
        <v>0</v>
      </c>
      <c r="M21" s="50">
        <f>SUMIF(Prosjekt!B:B,'Samlet budsjett'!A21,Prosjekt!G:G)</f>
        <v>0</v>
      </c>
    </row>
    <row r="22" spans="1:13" hidden="1" outlineLevel="1" x14ac:dyDescent="0.3">
      <c r="A22" s="84" t="s">
        <v>208</v>
      </c>
      <c r="B22" s="50">
        <f t="shared" si="0"/>
        <v>-80000</v>
      </c>
      <c r="C22" s="50">
        <f>SUMIF(Hovedlaget!B:B,'Samlet budsjett'!A22,Hovedlaget!AB:AB)</f>
        <v>0</v>
      </c>
      <c r="D22" s="50">
        <f>SUMIF(Allidrett!B:B,'Samlet budsjett'!A22,Allidrett!AB:AB)</f>
        <v>0</v>
      </c>
      <c r="E22" s="50">
        <f>SUMIF(Bueskyting!B:B,'Samlet budsjett'!A22,Bueskyting!AB:AB)</f>
        <v>0</v>
      </c>
      <c r="F22" s="50">
        <f>SUMIF(Tennis!B:B,'Samlet budsjett'!A22,Tennis!AB:AB)</f>
        <v>0</v>
      </c>
      <c r="G22" s="50">
        <f>SUMIF(Svømming!B:B,'Samlet budsjett'!A22,Svømming!AB:AB)</f>
        <v>0</v>
      </c>
      <c r="H22" s="50">
        <f>SUMIF(Fotball!B:B,'Samlet budsjett'!A22,Fotball!AB:AB)</f>
        <v>0</v>
      </c>
      <c r="I22" s="50">
        <f>SUMIF(Håndball!B:B,'Samlet budsjett'!A22,Håndball!AB:AB)</f>
        <v>-80000</v>
      </c>
      <c r="J22" s="50">
        <f>SUMIF(Futsal!B:B,'Samlet budsjett'!A:A,Futsal!AB:AB)</f>
        <v>0</v>
      </c>
      <c r="K22" s="50">
        <f>SUMIF('Tur og Friluftsliv'!$B:$B,'Samlet budsjett'!A22,'Tur og Friluftsliv'!$AB:$AB)</f>
        <v>0</v>
      </c>
      <c r="L22" s="50">
        <f>SUMIF('E-sport'!B:B,'Samlet budsjett'!A22,'E-sport'!AB:AB)</f>
        <v>0</v>
      </c>
      <c r="M22" s="50">
        <f>SUMIF(Prosjekt!B:B,'Samlet budsjett'!A22,Prosjekt!G:G)</f>
        <v>0</v>
      </c>
    </row>
    <row r="23" spans="1:13" hidden="1" outlineLevel="1" x14ac:dyDescent="0.3">
      <c r="A23" s="38" t="s">
        <v>174</v>
      </c>
      <c r="B23" s="50">
        <f t="shared" si="0"/>
        <v>-180000</v>
      </c>
      <c r="C23" s="50">
        <f>SUMIF(Hovedlaget!B:B,'Samlet budsjett'!A23,Hovedlaget!AB:AB)</f>
        <v>0</v>
      </c>
      <c r="D23" s="50">
        <f>SUMIF(Allidrett!B:B,'Samlet budsjett'!A23,Allidrett!AB:AB)</f>
        <v>0</v>
      </c>
      <c r="E23" s="50">
        <f>SUMIF(Bueskyting!B:B,'Samlet budsjett'!A23,Bueskyting!AB:AB)</f>
        <v>0</v>
      </c>
      <c r="F23" s="50">
        <f>SUMIF(Tennis!B:B,'Samlet budsjett'!A23,Tennis!AB:AB)</f>
        <v>-55000</v>
      </c>
      <c r="G23" s="50">
        <f>SUMIF(Svømming!B:B,'Samlet budsjett'!A23,Svømming!AB:AB)</f>
        <v>-125000</v>
      </c>
      <c r="H23" s="50">
        <f>SUMIF(Fotball!B:B,'Samlet budsjett'!A23,Fotball!AB:AB)</f>
        <v>0</v>
      </c>
      <c r="I23" s="50">
        <f>SUMIF(Håndball!B:B,'Samlet budsjett'!A23,Håndball!AB:AB)</f>
        <v>0</v>
      </c>
      <c r="J23" s="50">
        <f>SUMIF(Futsal!B:B,'Samlet budsjett'!A:A,Futsal!AB:AB)</f>
        <v>0</v>
      </c>
      <c r="K23" s="50">
        <f>SUMIF('Tur og Friluftsliv'!$B:$B,'Samlet budsjett'!A23,'Tur og Friluftsliv'!$AB:$AB)</f>
        <v>0</v>
      </c>
      <c r="L23" s="50">
        <f>SUMIF('E-sport'!B:B,'Samlet budsjett'!A23,'E-sport'!AB:AB)</f>
        <v>0</v>
      </c>
      <c r="M23" s="50">
        <f>SUMIF(Prosjekt!B:B,'Samlet budsjett'!A23,Prosjekt!G:G)</f>
        <v>0</v>
      </c>
    </row>
    <row r="24" spans="1:13" hidden="1" outlineLevel="1" collapsed="1" x14ac:dyDescent="0.3">
      <c r="A24" s="10" t="s">
        <v>28</v>
      </c>
      <c r="B24" s="50">
        <f t="shared" si="0"/>
        <v>-235000</v>
      </c>
      <c r="C24" s="50">
        <f>SUMIF(Hovedlaget!B:B,'Samlet budsjett'!A24,Hovedlaget!AB:AB)</f>
        <v>-235000</v>
      </c>
      <c r="D24" s="50">
        <f>SUMIF(Allidrett!B:B,'Samlet budsjett'!A24,Allidrett!AB:AB)</f>
        <v>0</v>
      </c>
      <c r="E24" s="50">
        <f>SUMIF(Bueskyting!B:B,'Samlet budsjett'!A24,Bueskyting!AB:AB)</f>
        <v>0</v>
      </c>
      <c r="F24" s="50">
        <f>SUMIF(Tennis!B:B,'Samlet budsjett'!A24,Tennis!AB:AB)</f>
        <v>0</v>
      </c>
      <c r="G24" s="50">
        <f>SUMIF(Svømming!B:B,'Samlet budsjett'!A24,Svømming!AB:AB)</f>
        <v>0</v>
      </c>
      <c r="H24" s="50">
        <f>SUMIF(Fotball!B:B,'Samlet budsjett'!A24,Fotball!AB:AB)</f>
        <v>0</v>
      </c>
      <c r="I24" s="50">
        <f>SUMIF(Håndball!B:B,'Samlet budsjett'!A24,Håndball!AB:AB)</f>
        <v>0</v>
      </c>
      <c r="J24" s="50">
        <f>SUMIF(Futsal!B:B,'Samlet budsjett'!A:A,Futsal!AB:AB)</f>
        <v>0</v>
      </c>
      <c r="K24" s="50">
        <f>SUMIF('Tur og Friluftsliv'!$B:$B,'Samlet budsjett'!A24,'Tur og Friluftsliv'!$AB:$AB)</f>
        <v>0</v>
      </c>
      <c r="L24" s="50">
        <f>SUMIF('E-sport'!B:B,'Samlet budsjett'!A24,'E-sport'!AB:AB)</f>
        <v>0</v>
      </c>
      <c r="M24" s="50">
        <f>SUMIF(Prosjekt!B:B,'Samlet budsjett'!A24,Prosjekt!G:G)</f>
        <v>0</v>
      </c>
    </row>
    <row r="25" spans="1:13" hidden="1" outlineLevel="1" x14ac:dyDescent="0.3">
      <c r="A25" s="10" t="s">
        <v>194</v>
      </c>
      <c r="B25" s="50">
        <f t="shared" si="0"/>
        <v>-120000</v>
      </c>
      <c r="C25" s="50">
        <f>SUMIF(Hovedlaget!B:B,'Samlet budsjett'!A25,Hovedlaget!AB:AB)</f>
        <v>0</v>
      </c>
      <c r="D25" s="50">
        <f>SUMIF(Allidrett!B:B,'Samlet budsjett'!A25,Allidrett!AB:AB)</f>
        <v>0</v>
      </c>
      <c r="E25" s="50">
        <f>SUMIF(Bueskyting!B:B,'Samlet budsjett'!A25,Bueskyting!AB:AB)</f>
        <v>0</v>
      </c>
      <c r="F25" s="50">
        <f>SUMIF(Tennis!B:B,'Samlet budsjett'!A25,Tennis!AB:AB)</f>
        <v>0</v>
      </c>
      <c r="G25" s="50">
        <f>SUMIF(Svømming!B:B,'Samlet budsjett'!A25,Svømming!AB:AB)</f>
        <v>0</v>
      </c>
      <c r="H25" s="50">
        <f>SUMIF(Fotball!B:B,'Samlet budsjett'!A25,Fotball!AB:AB)</f>
        <v>-120000</v>
      </c>
      <c r="I25" s="50">
        <f>SUMIF(Håndball!B:B,'Samlet budsjett'!A25,Håndball!AB:AB)</f>
        <v>0</v>
      </c>
      <c r="J25" s="50">
        <f>SUMIF(Futsal!B:B,'Samlet budsjett'!A:A,Futsal!AB:AB)</f>
        <v>0</v>
      </c>
      <c r="K25" s="50">
        <f>SUMIF('Tur og Friluftsliv'!$B:$B,'Samlet budsjett'!A25,'Tur og Friluftsliv'!$AB:$AB)</f>
        <v>0</v>
      </c>
      <c r="L25" s="50">
        <f>SUMIF('E-sport'!B:B,'Samlet budsjett'!A25,'E-sport'!AB:AB)</f>
        <v>0</v>
      </c>
      <c r="M25" s="50">
        <f>SUMIF(Prosjekt!B:B,'Samlet budsjett'!A25,Prosjekt!G:G)</f>
        <v>0</v>
      </c>
    </row>
    <row r="26" spans="1:13" hidden="1" outlineLevel="1" collapsed="1" x14ac:dyDescent="0.3">
      <c r="A26" s="10" t="s">
        <v>29</v>
      </c>
      <c r="B26" s="50">
        <f t="shared" si="0"/>
        <v>-325000</v>
      </c>
      <c r="C26" s="50">
        <f>SUMIF(Hovedlaget!B:B,'Samlet budsjett'!A26,Hovedlaget!AB:AB)</f>
        <v>-300000</v>
      </c>
      <c r="D26" s="50">
        <f>SUMIF(Allidrett!B:B,'Samlet budsjett'!A26,Allidrett!AB:AB)</f>
        <v>0</v>
      </c>
      <c r="E26" s="50">
        <f>SUMIF(Bueskyting!B:B,'Samlet budsjett'!A26,Bueskyting!AB:AB)</f>
        <v>0</v>
      </c>
      <c r="F26" s="50">
        <f>SUMIF(Tennis!B:B,'Samlet budsjett'!A26,Tennis!AB:AB)</f>
        <v>0</v>
      </c>
      <c r="G26" s="50">
        <f>SUMIF(Svømming!B:B,'Samlet budsjett'!A26,Svømming!AB:AB)</f>
        <v>0</v>
      </c>
      <c r="H26" s="50">
        <f>SUMIF(Fotball!B:B,'Samlet budsjett'!A26,Fotball!AB:AB)</f>
        <v>-25000</v>
      </c>
      <c r="I26" s="50">
        <f>SUMIF(Håndball!B:B,'Samlet budsjett'!A26,Håndball!AB:AB)</f>
        <v>0</v>
      </c>
      <c r="J26" s="50">
        <f>SUMIF(Futsal!B:B,'Samlet budsjett'!A:A,Futsal!AB:AB)</f>
        <v>0</v>
      </c>
      <c r="K26" s="50">
        <f>SUMIF('Tur og Friluftsliv'!$B:$B,'Samlet budsjett'!A26,'Tur og Friluftsliv'!$AB:$AB)</f>
        <v>0</v>
      </c>
      <c r="L26" s="50">
        <f>SUMIF('E-sport'!B:B,'Samlet budsjett'!A26,'E-sport'!AB:AB)</f>
        <v>0</v>
      </c>
      <c r="M26" s="50">
        <f>SUMIF(Prosjekt!B:B,'Samlet budsjett'!A26,Prosjekt!G:G)</f>
        <v>0</v>
      </c>
    </row>
    <row r="27" spans="1:13" collapsed="1" x14ac:dyDescent="0.3">
      <c r="A27" s="8" t="s">
        <v>5</v>
      </c>
      <c r="B27" s="49">
        <f t="shared" si="0"/>
        <v>-4043573</v>
      </c>
      <c r="C27" s="49">
        <f t="shared" ref="C27:H27" si="3">SUM(C28:C32)</f>
        <v>-1400000</v>
      </c>
      <c r="D27" s="49">
        <f t="shared" si="3"/>
        <v>0</v>
      </c>
      <c r="E27" s="49">
        <f t="shared" si="3"/>
        <v>-5405</v>
      </c>
      <c r="F27" s="49">
        <f t="shared" si="3"/>
        <v>-6757</v>
      </c>
      <c r="G27" s="49">
        <f t="shared" si="3"/>
        <v>-175261</v>
      </c>
      <c r="H27" s="49">
        <f t="shared" si="3"/>
        <v>-149099</v>
      </c>
      <c r="I27" s="49">
        <f t="shared" ref="I27" si="4">SUM(I28:I32)</f>
        <v>-72973</v>
      </c>
      <c r="J27" s="49">
        <f>SUM(J28:J32)</f>
        <v>0</v>
      </c>
      <c r="K27" s="49">
        <f t="shared" ref="K27:L27" si="5">SUM(K28:K32)</f>
        <v>0</v>
      </c>
      <c r="L27" s="49">
        <f t="shared" si="5"/>
        <v>-4505</v>
      </c>
      <c r="M27" s="49">
        <f t="shared" ref="M27" si="6">SUM(M28:M32)</f>
        <v>-2229573</v>
      </c>
    </row>
    <row r="28" spans="1:13" hidden="1" outlineLevel="1" x14ac:dyDescent="0.3">
      <c r="A28" s="10" t="s">
        <v>30</v>
      </c>
      <c r="B28" s="50">
        <f t="shared" si="0"/>
        <v>-3284573</v>
      </c>
      <c r="C28" s="50">
        <f>SUMIF(Hovedlaget!B:B,'Samlet budsjett'!A28,Hovedlaget!AB:AB)</f>
        <v>-1050000</v>
      </c>
      <c r="D28" s="50">
        <f>SUMIF(Allidrett!B:B,'Samlet budsjett'!A28,Allidrett!AB:AB)</f>
        <v>0</v>
      </c>
      <c r="E28" s="50">
        <f>SUMIF(Bueskyting!B:B,'Samlet budsjett'!A28,Bueskyting!AB:AB)</f>
        <v>0</v>
      </c>
      <c r="F28" s="50">
        <f>SUMIF(Tennis!B:B,'Samlet budsjett'!A28,Tennis!AB:AB)</f>
        <v>0</v>
      </c>
      <c r="G28" s="50">
        <f>SUMIF(Svømming!B:B,'Samlet budsjett'!A28,Svømming!AB:AB)</f>
        <v>-5000</v>
      </c>
      <c r="H28" s="50">
        <f>SUMIF(Fotball!B:B,'Samlet budsjett'!A28,Fotball!AB:AB)</f>
        <v>0</v>
      </c>
      <c r="I28" s="50">
        <f>SUMIF(Håndball!B:B,'Samlet budsjett'!A28,Håndball!AB:AB)</f>
        <v>0</v>
      </c>
      <c r="J28" s="50">
        <f>SUMIF(Futsal!B:B,'Samlet budsjett'!A:A,Futsal!AB:AB)</f>
        <v>0</v>
      </c>
      <c r="K28" s="50">
        <f>SUMIF('Tur og Friluftsliv'!$B:$B,'Samlet budsjett'!A28,'Tur og Friluftsliv'!$AB:$AB)</f>
        <v>0</v>
      </c>
      <c r="L28" s="50">
        <f>SUMIF('E-sport'!B:B,'Samlet budsjett'!A28,'E-sport'!AB:AB)</f>
        <v>0</v>
      </c>
      <c r="M28" s="50">
        <f>SUMIF(Prosjekt!B:B,'Samlet budsjett'!A28,Prosjekt!G:G)</f>
        <v>-2229573</v>
      </c>
    </row>
    <row r="29" spans="1:13" hidden="1" outlineLevel="1" x14ac:dyDescent="0.3">
      <c r="A29" s="38" t="s">
        <v>175</v>
      </c>
      <c r="B29" s="50">
        <f t="shared" si="0"/>
        <v>-15000</v>
      </c>
      <c r="C29" s="50">
        <f>SUMIF(Hovedlaget!B:B,'Samlet budsjett'!A29,Hovedlaget!AB:AB)</f>
        <v>0</v>
      </c>
      <c r="D29" s="50">
        <f>SUMIF(Allidrett!B:B,'Samlet budsjett'!A29,Allidrett!AB:AB)</f>
        <v>0</v>
      </c>
      <c r="E29" s="50">
        <f>SUMIF(Bueskyting!B:B,'Samlet budsjett'!A29,Bueskyting!AB:AB)</f>
        <v>0</v>
      </c>
      <c r="F29" s="50">
        <f>SUMIF(Tennis!B:B,'Samlet budsjett'!A29,Tennis!AB:AB)</f>
        <v>0</v>
      </c>
      <c r="G29" s="50">
        <f>SUMIF(Svømming!B:B,'Samlet budsjett'!A29,Svømming!AB:AB)</f>
        <v>-15000</v>
      </c>
      <c r="H29" s="50">
        <f>SUMIF(Fotball!B:B,'Samlet budsjett'!A29,Fotball!AB:AB)</f>
        <v>0</v>
      </c>
      <c r="I29" s="50">
        <f>SUMIF(Håndball!B:B,'Samlet budsjett'!A29,Håndball!AB:AB)</f>
        <v>0</v>
      </c>
      <c r="J29" s="50">
        <f>SUMIF(Futsal!B:B,'Samlet budsjett'!A:A,Futsal!AB:AB)</f>
        <v>0</v>
      </c>
      <c r="K29" s="50">
        <f>SUMIF('Tur og Friluftsliv'!$B:$B,'Samlet budsjett'!A29,'Tur og Friluftsliv'!$AB:$AB)</f>
        <v>0</v>
      </c>
      <c r="L29" s="50">
        <f>SUMIF('E-sport'!B:B,'Samlet budsjett'!A29,'E-sport'!AB:AB)</f>
        <v>0</v>
      </c>
      <c r="M29" s="50">
        <f>SUMIF(Prosjekt!B:B,'Samlet budsjett'!A29,Prosjekt!G:G)</f>
        <v>0</v>
      </c>
    </row>
    <row r="30" spans="1:13" hidden="1" outlineLevel="1" collapsed="1" x14ac:dyDescent="0.3">
      <c r="A30" s="10" t="s">
        <v>31</v>
      </c>
      <c r="B30" s="50">
        <f t="shared" si="0"/>
        <v>0</v>
      </c>
      <c r="C30" s="50">
        <f>SUMIF(Hovedlaget!B:B,'Samlet budsjett'!A30,Hovedlaget!AB:AB)</f>
        <v>0</v>
      </c>
      <c r="D30" s="50">
        <f>SUMIF(Allidrett!B:B,'Samlet budsjett'!A30,Allidrett!AB:AB)</f>
        <v>0</v>
      </c>
      <c r="E30" s="50">
        <f>SUMIF(Bueskyting!B:B,'Samlet budsjett'!A30,Bueskyting!AB:AB)</f>
        <v>0</v>
      </c>
      <c r="F30" s="50">
        <f>SUMIF(Tennis!B:B,'Samlet budsjett'!A30,Tennis!AB:AB)</f>
        <v>0</v>
      </c>
      <c r="G30" s="50">
        <f>SUMIF(Svømming!B:B,'Samlet budsjett'!A30,Svømming!AB:AB)</f>
        <v>0</v>
      </c>
      <c r="H30" s="50">
        <f>SUMIF(Fotball!B:B,'Samlet budsjett'!A30,Fotball!AB:AB)</f>
        <v>0</v>
      </c>
      <c r="I30" s="50">
        <f>SUMIF(Håndball!B:B,'Samlet budsjett'!A30,Håndball!AB:AB)</f>
        <v>0</v>
      </c>
      <c r="J30" s="50">
        <f>SUMIF(Futsal!B:B,'Samlet budsjett'!A:A,Futsal!AB:AB)</f>
        <v>0</v>
      </c>
      <c r="K30" s="50">
        <f>SUMIF('Tur og Friluftsliv'!$B:$B,'Samlet budsjett'!A30,'Tur og Friluftsliv'!$AB:$AB)</f>
        <v>0</v>
      </c>
      <c r="L30" s="50">
        <f>SUMIF('E-sport'!B:B,'Samlet budsjett'!A30,'E-sport'!AB:AB)</f>
        <v>0</v>
      </c>
      <c r="M30" s="50">
        <f>SUMIF(Prosjekt!B:B,'Samlet budsjett'!A30,Prosjekt!G:G)</f>
        <v>0</v>
      </c>
    </row>
    <row r="31" spans="1:13" hidden="1" outlineLevel="1" collapsed="1" x14ac:dyDescent="0.3">
      <c r="A31" s="10" t="s">
        <v>32</v>
      </c>
      <c r="B31" s="50">
        <f t="shared" si="0"/>
        <v>-700000</v>
      </c>
      <c r="C31" s="50">
        <f>SUMIF(Hovedlaget!B:B,'Samlet budsjett'!A31,Hovedlaget!AB:AB)</f>
        <v>-350000</v>
      </c>
      <c r="D31" s="50">
        <f>SUMIF(Allidrett!B:B,'Samlet budsjett'!A31,Allidrett!AB:AB)</f>
        <v>0</v>
      </c>
      <c r="E31" s="50">
        <f>SUMIF(Bueskyting!B:B,'Samlet budsjett'!A31,Bueskyting!AB:AB)</f>
        <v>-5405</v>
      </c>
      <c r="F31" s="50">
        <f>SUMIF(Tennis!B:B,'Samlet budsjett'!A31,Tennis!AB:AB)</f>
        <v>-6757</v>
      </c>
      <c r="G31" s="50">
        <f>SUMIF(Svømming!B:B,'Samlet budsjett'!A31,Svømming!AB:AB)</f>
        <v>-111261</v>
      </c>
      <c r="H31" s="50">
        <f>SUMIF(Fotball!B:B,'Samlet budsjett'!A31,Fotball!AB:AB)</f>
        <v>-149099</v>
      </c>
      <c r="I31" s="50">
        <f>SUMIF(Håndball!B:B,'Samlet budsjett'!A31,Håndball!AB:AB)</f>
        <v>-72973</v>
      </c>
      <c r="J31" s="50">
        <f>SUMIF(Futsal!B:B,'Samlet budsjett'!A:A,Futsal!AB:AB)</f>
        <v>0</v>
      </c>
      <c r="K31" s="50">
        <f>SUMIF('Tur og Friluftsliv'!$B:$B,'Samlet budsjett'!A31,'Tur og Friluftsliv'!$AB:$AB)</f>
        <v>0</v>
      </c>
      <c r="L31" s="50">
        <f>SUMIF('E-sport'!B:B,'Samlet budsjett'!A31,'E-sport'!AB:AB)</f>
        <v>-4505</v>
      </c>
      <c r="M31" s="50">
        <f>SUMIF(Prosjekt!B:B,'Samlet budsjett'!A31,Prosjekt!G:G)</f>
        <v>0</v>
      </c>
    </row>
    <row r="32" spans="1:13" hidden="1" outlineLevel="1" x14ac:dyDescent="0.3">
      <c r="A32" s="38" t="s">
        <v>177</v>
      </c>
      <c r="B32" s="50">
        <f t="shared" si="0"/>
        <v>-44000</v>
      </c>
      <c r="C32" s="50">
        <f>SUMIF(Hovedlaget!B:B,'Samlet budsjett'!A32,Hovedlaget!AB:AB)</f>
        <v>0</v>
      </c>
      <c r="D32" s="50">
        <f>SUMIF(Allidrett!B:B,'Samlet budsjett'!A32,Allidrett!AB:AB)</f>
        <v>0</v>
      </c>
      <c r="E32" s="50">
        <f>SUMIF(Bueskyting!B:B,'Samlet budsjett'!A32,Bueskyting!AB:AB)</f>
        <v>0</v>
      </c>
      <c r="F32" s="50">
        <f>SUMIF(Tennis!B:B,'Samlet budsjett'!A32,Tennis!AB:AB)</f>
        <v>0</v>
      </c>
      <c r="G32" s="50">
        <f>SUMIF(Svømming!B:B,'Samlet budsjett'!A32,Svømming!AB:AB)</f>
        <v>-44000</v>
      </c>
      <c r="H32" s="50">
        <f>SUMIF(Fotball!B:B,'Samlet budsjett'!A32,Fotball!AB:AB)</f>
        <v>0</v>
      </c>
      <c r="I32" s="50">
        <f>SUMIF(Håndball!B:B,'Samlet budsjett'!A32,Håndball!AB:AB)</f>
        <v>0</v>
      </c>
      <c r="J32" s="50">
        <f>SUMIF(Futsal!B:B,'Samlet budsjett'!A:A,Futsal!AB:AB)</f>
        <v>0</v>
      </c>
      <c r="K32" s="50">
        <f>SUMIF('Tur og Friluftsliv'!$B:$B,'Samlet budsjett'!A32,'Tur og Friluftsliv'!$AB:$AB)</f>
        <v>0</v>
      </c>
      <c r="L32" s="50">
        <f>SUMIF('E-sport'!B:B,'Samlet budsjett'!A32,'E-sport'!AB:AB)</f>
        <v>0</v>
      </c>
      <c r="M32" s="50">
        <f>SUMIF(Prosjekt!B:B,'Samlet budsjett'!A32,Prosjekt!G:G)</f>
        <v>0</v>
      </c>
    </row>
    <row r="33" spans="1:13" collapsed="1" x14ac:dyDescent="0.3">
      <c r="A33" s="8" t="s">
        <v>6</v>
      </c>
      <c r="B33" s="49">
        <f t="shared" si="0"/>
        <v>-2003456</v>
      </c>
      <c r="C33" s="49">
        <f t="shared" ref="C33:K33" si="7">SUM(C34:C41)</f>
        <v>-1974740</v>
      </c>
      <c r="D33" s="49">
        <f>SUM(D34:D41)</f>
        <v>0</v>
      </c>
      <c r="E33" s="49">
        <f>SUM(E34:E41)</f>
        <v>0</v>
      </c>
      <c r="F33" s="49">
        <f>SUM(F34:F41)</f>
        <v>-28716</v>
      </c>
      <c r="G33" s="49">
        <f>SUM(G34:G41)</f>
        <v>0</v>
      </c>
      <c r="H33" s="49">
        <f>SUM(H34:H41)</f>
        <v>0</v>
      </c>
      <c r="I33" s="49">
        <f t="shared" ref="I33" si="8">SUM(I34:I41)</f>
        <v>0</v>
      </c>
      <c r="J33" s="49">
        <f>SUM(J34:J41)</f>
        <v>0</v>
      </c>
      <c r="K33" s="49">
        <f t="shared" si="7"/>
        <v>0</v>
      </c>
      <c r="L33" s="49">
        <f t="shared" ref="L33:M33" si="9">SUM(L34:L41)</f>
        <v>0</v>
      </c>
      <c r="M33" s="49">
        <f t="shared" si="9"/>
        <v>0</v>
      </c>
    </row>
    <row r="34" spans="1:13" hidden="1" outlineLevel="1" x14ac:dyDescent="0.3">
      <c r="A34" s="10" t="s">
        <v>33</v>
      </c>
      <c r="B34" s="50">
        <f t="shared" si="0"/>
        <v>-1285960</v>
      </c>
      <c r="C34" s="50">
        <f>SUMIF(Hovedlaget!B:B,'Samlet budsjett'!A34,Hovedlaget!AB:AB)</f>
        <v>-1285960</v>
      </c>
      <c r="D34" s="50">
        <f>SUMIF(Allidrett!B:B,'Samlet budsjett'!A34,Allidrett!AB:AB)</f>
        <v>0</v>
      </c>
      <c r="E34" s="50">
        <f>SUMIF(Bueskyting!B:B,'Samlet budsjett'!A34,Bueskyting!AB:AB)</f>
        <v>0</v>
      </c>
      <c r="F34" s="50">
        <f>SUMIF(Tennis!B:B,'Samlet budsjett'!A34,Tennis!AB:AB)</f>
        <v>0</v>
      </c>
      <c r="G34" s="50">
        <f>SUMIF(Svømming!B:B,'Samlet budsjett'!A34,Svømming!AB:AB)</f>
        <v>0</v>
      </c>
      <c r="H34" s="50">
        <f>SUMIF(Fotball!B:B,'Samlet budsjett'!A34,Fotball!AB:AB)</f>
        <v>0</v>
      </c>
      <c r="I34" s="50">
        <f>SUMIF(Håndball!B:B,'Samlet budsjett'!A34,Håndball!AB:AB)</f>
        <v>0</v>
      </c>
      <c r="J34" s="50">
        <f>SUMIF(Futsal!B:B,'Samlet budsjett'!A:A,Futsal!AB:AB)</f>
        <v>0</v>
      </c>
      <c r="K34" s="50">
        <f>SUMIF('Tur og Friluftsliv'!A:A,'Samlet budsjett'!A34,'Tur og Friluftsliv'!AB:AB)</f>
        <v>0</v>
      </c>
      <c r="L34" s="50">
        <f>SUMIF('E-sport'!B:B,'Samlet budsjett'!A34,'E-sport'!AB:AB)</f>
        <v>0</v>
      </c>
      <c r="M34" s="50">
        <f>SUMIF(Prosjekt!B:B,'Samlet budsjett'!A34,Prosjekt!G:G)</f>
        <v>0</v>
      </c>
    </row>
    <row r="35" spans="1:13" hidden="1" outlineLevel="1" collapsed="1" x14ac:dyDescent="0.3">
      <c r="A35" s="10" t="s">
        <v>34</v>
      </c>
      <c r="B35" s="50">
        <f t="shared" si="0"/>
        <v>-100000</v>
      </c>
      <c r="C35" s="50">
        <f>SUMIF(Hovedlaget!B:B,'Samlet budsjett'!A35,Hovedlaget!AB:AB)</f>
        <v>-100000</v>
      </c>
      <c r="D35" s="50">
        <f>SUMIF(Allidrett!B:B,'Samlet budsjett'!A35,Allidrett!AB:AB)</f>
        <v>0</v>
      </c>
      <c r="E35" s="50">
        <f>SUMIF(Bueskyting!B:B,'Samlet budsjett'!A35,Bueskyting!AB:AB)</f>
        <v>0</v>
      </c>
      <c r="F35" s="50">
        <f>SUMIF(Tennis!B:B,'Samlet budsjett'!A35,Tennis!AB:AB)</f>
        <v>0</v>
      </c>
      <c r="G35" s="50">
        <f>SUMIF(Svømming!B:B,'Samlet budsjett'!A35,Svømming!AB:AB)</f>
        <v>0</v>
      </c>
      <c r="H35" s="50">
        <f>SUMIF(Fotball!B:B,'Samlet budsjett'!A35,Fotball!AB:AB)</f>
        <v>0</v>
      </c>
      <c r="I35" s="50">
        <f>SUMIF(Håndball!B:B,'Samlet budsjett'!A35,Håndball!AB:AB)</f>
        <v>0</v>
      </c>
      <c r="J35" s="50">
        <f>SUMIF(Futsal!B:B,'Samlet budsjett'!A:A,Futsal!AB:AB)</f>
        <v>0</v>
      </c>
      <c r="K35" s="50">
        <f>SUMIF('Tur og Friluftsliv'!A:A,'Samlet budsjett'!A35,'Tur og Friluftsliv'!AB:AB)</f>
        <v>0</v>
      </c>
      <c r="L35" s="50">
        <f>SUMIF('E-sport'!B:B,'Samlet budsjett'!A35,'E-sport'!AB:AB)</f>
        <v>0</v>
      </c>
      <c r="M35" s="50">
        <f>SUMIF(Prosjekt!B:B,'Samlet budsjett'!A35,Prosjekt!G:G)</f>
        <v>0</v>
      </c>
    </row>
    <row r="36" spans="1:13" hidden="1" outlineLevel="1" collapsed="1" x14ac:dyDescent="0.3">
      <c r="A36" s="10" t="s">
        <v>35</v>
      </c>
      <c r="B36" s="50">
        <f t="shared" si="0"/>
        <v>-120000</v>
      </c>
      <c r="C36" s="50">
        <f>SUMIF(Hovedlaget!B:B,'Samlet budsjett'!A36,Hovedlaget!AB:AB)</f>
        <v>-120000</v>
      </c>
      <c r="D36" s="50">
        <f>SUMIF(Allidrett!B:B,'Samlet budsjett'!A36,Allidrett!AB:AB)</f>
        <v>0</v>
      </c>
      <c r="E36" s="50">
        <f>SUMIF(Bueskyting!B:B,'Samlet budsjett'!A36,Bueskyting!AB:AB)</f>
        <v>0</v>
      </c>
      <c r="F36" s="50">
        <f>SUMIF(Tennis!B:B,'Samlet budsjett'!A36,Tennis!AB:AB)</f>
        <v>0</v>
      </c>
      <c r="G36" s="50">
        <f>SUMIF(Svømming!B:B,'Samlet budsjett'!A36,Svømming!AB:AB)</f>
        <v>0</v>
      </c>
      <c r="H36" s="50">
        <f>SUMIF(Fotball!B:B,'Samlet budsjett'!A36,Fotball!AB:AB)</f>
        <v>0</v>
      </c>
      <c r="I36" s="50">
        <f>SUMIF(Håndball!B:B,'Samlet budsjett'!A36,Håndball!AB:AB)</f>
        <v>0</v>
      </c>
      <c r="J36" s="50">
        <f>SUMIF(Futsal!B:B,'Samlet budsjett'!A:A,Futsal!AB:AB)</f>
        <v>0</v>
      </c>
      <c r="K36" s="50">
        <f>SUMIF('Tur og Friluftsliv'!A:A,'Samlet budsjett'!A36,'Tur og Friluftsliv'!AB:AB)</f>
        <v>0</v>
      </c>
      <c r="L36" s="50">
        <f>SUMIF('E-sport'!B:B,'Samlet budsjett'!A36,'E-sport'!AB:AB)</f>
        <v>0</v>
      </c>
      <c r="M36" s="50">
        <f>SUMIF(Prosjekt!B:B,'Samlet budsjett'!A36,Prosjekt!G:G)</f>
        <v>0</v>
      </c>
    </row>
    <row r="37" spans="1:13" hidden="1" outlineLevel="1" collapsed="1" x14ac:dyDescent="0.3">
      <c r="A37" s="10" t="s">
        <v>36</v>
      </c>
      <c r="B37" s="50">
        <f t="shared" si="0"/>
        <v>-445716</v>
      </c>
      <c r="C37" s="50">
        <f>SUMIF(Hovedlaget!B:B,'Samlet budsjett'!A37,Hovedlaget!AB:AB)</f>
        <v>-420000</v>
      </c>
      <c r="D37" s="50">
        <f>SUMIF(Allidrett!B:B,'Samlet budsjett'!A37,Allidrett!AB:AB)</f>
        <v>0</v>
      </c>
      <c r="E37" s="50">
        <f>SUMIF(Bueskyting!B:B,'Samlet budsjett'!A37,Bueskyting!AB:AB)</f>
        <v>0</v>
      </c>
      <c r="F37" s="50">
        <f>SUMIF(Tennis!B:B,'Samlet budsjett'!A37,Tennis!AB:AB)</f>
        <v>-25716</v>
      </c>
      <c r="G37" s="50">
        <f>SUMIF(Svømming!B:B,'Samlet budsjett'!A37,Svømming!AB:AB)</f>
        <v>0</v>
      </c>
      <c r="H37" s="50">
        <f>SUMIF(Fotball!B:B,'Samlet budsjett'!A37,Fotball!AB:AB)</f>
        <v>0</v>
      </c>
      <c r="I37" s="50">
        <f>SUMIF(Håndball!B:B,'Samlet budsjett'!A37,Håndball!AB:AB)</f>
        <v>0</v>
      </c>
      <c r="J37" s="50">
        <f>SUMIF(Futsal!B:B,'Samlet budsjett'!A:A,Futsal!AB:AB)</f>
        <v>0</v>
      </c>
      <c r="K37" s="50">
        <f>SUMIF('Tur og Friluftsliv'!A:A,'Samlet budsjett'!A37,'Tur og Friluftsliv'!AB:AB)</f>
        <v>0</v>
      </c>
      <c r="L37" s="50">
        <f>SUMIF('E-sport'!B:B,'Samlet budsjett'!A37,'E-sport'!AB:AB)</f>
        <v>0</v>
      </c>
      <c r="M37" s="50">
        <f>SUMIF(Prosjekt!B:B,'Samlet budsjett'!A37,Prosjekt!G:G)</f>
        <v>0</v>
      </c>
    </row>
    <row r="38" spans="1:13" hidden="1" outlineLevel="1" collapsed="1" x14ac:dyDescent="0.3">
      <c r="A38" s="10" t="s">
        <v>37</v>
      </c>
      <c r="B38" s="50">
        <f t="shared" si="0"/>
        <v>-21780</v>
      </c>
      <c r="C38" s="50">
        <f>SUMIF(Hovedlaget!B:B,'Samlet budsjett'!A38,Hovedlaget!AB:AB)</f>
        <v>-18780</v>
      </c>
      <c r="D38" s="50">
        <f>SUMIF(Allidrett!B:B,'Samlet budsjett'!A38,Allidrett!AB:AB)</f>
        <v>0</v>
      </c>
      <c r="E38" s="50">
        <f>SUMIF(Bueskyting!B:B,'Samlet budsjett'!A38,Bueskyting!AB:AB)</f>
        <v>0</v>
      </c>
      <c r="F38" s="50">
        <f>SUMIF(Tennis!B:B,'Samlet budsjett'!A38,Tennis!AB:AB)</f>
        <v>-3000</v>
      </c>
      <c r="G38" s="50">
        <f>SUMIF(Svømming!B:B,'Samlet budsjett'!A38,Svømming!AB:AB)</f>
        <v>0</v>
      </c>
      <c r="H38" s="50">
        <f>SUMIF(Fotball!B:B,'Samlet budsjett'!A38,Fotball!AB:AB)</f>
        <v>0</v>
      </c>
      <c r="I38" s="50">
        <f>SUMIF(Håndball!B:B,'Samlet budsjett'!A38,Håndball!AB:AB)</f>
        <v>0</v>
      </c>
      <c r="J38" s="50">
        <f>SUMIF(Futsal!B:B,'Samlet budsjett'!A:A,Futsal!AB:AB)</f>
        <v>0</v>
      </c>
      <c r="K38" s="50">
        <f>SUMIF('Tur og Friluftsliv'!A:A,'Samlet budsjett'!A38,'Tur og Friluftsliv'!AB:AB)</f>
        <v>0</v>
      </c>
      <c r="L38" s="50">
        <f>SUMIF('E-sport'!B:B,'Samlet budsjett'!A38,'E-sport'!AB:AB)</f>
        <v>0</v>
      </c>
      <c r="M38" s="50">
        <f>SUMIF(Prosjekt!B:B,'Samlet budsjett'!A38,Prosjekt!G:G)</f>
        <v>0</v>
      </c>
    </row>
    <row r="39" spans="1:13" hidden="1" outlineLevel="1" collapsed="1" x14ac:dyDescent="0.3">
      <c r="A39" s="10" t="s">
        <v>38</v>
      </c>
      <c r="B39" s="50">
        <f t="shared" si="0"/>
        <v>-30000</v>
      </c>
      <c r="C39" s="50">
        <f>SUMIF(Hovedlaget!B:B,'Samlet budsjett'!A39,Hovedlaget!AB:AB)</f>
        <v>-30000</v>
      </c>
      <c r="D39" s="50">
        <f>SUMIF(Allidrett!B:B,'Samlet budsjett'!A39,Allidrett!AB:AB)</f>
        <v>0</v>
      </c>
      <c r="E39" s="50">
        <f>SUMIF(Bueskyting!B:B,'Samlet budsjett'!A39,Bueskyting!AB:AB)</f>
        <v>0</v>
      </c>
      <c r="F39" s="50">
        <f>SUMIF(Tennis!B:B,'Samlet budsjett'!A39,Tennis!AB:AB)</f>
        <v>0</v>
      </c>
      <c r="G39" s="50">
        <f>SUMIF(Svømming!B:B,'Samlet budsjett'!A39,Svømming!AB:AB)</f>
        <v>0</v>
      </c>
      <c r="H39" s="50">
        <f>SUMIF(Fotball!B:B,'Samlet budsjett'!A39,Fotball!AB:AB)</f>
        <v>0</v>
      </c>
      <c r="I39" s="50">
        <f>SUMIF(Håndball!B:B,'Samlet budsjett'!A39,Håndball!AB:AB)</f>
        <v>0</v>
      </c>
      <c r="J39" s="50">
        <f>SUMIF(Futsal!B:B,'Samlet budsjett'!A:A,Futsal!AB:AB)</f>
        <v>0</v>
      </c>
      <c r="K39" s="50">
        <f>SUMIF('Tur og Friluftsliv'!A:A,'Samlet budsjett'!A39,'Tur og Friluftsliv'!AB:AB)</f>
        <v>0</v>
      </c>
      <c r="L39" s="50">
        <f>SUMIF('E-sport'!B:B,'Samlet budsjett'!A39,'E-sport'!AB:AB)</f>
        <v>0</v>
      </c>
      <c r="M39" s="50">
        <f>SUMIF(Prosjekt!B:B,'Samlet budsjett'!A39,Prosjekt!G:G)</f>
        <v>0</v>
      </c>
    </row>
    <row r="40" spans="1:13" hidden="1" outlineLevel="1" collapsed="1" x14ac:dyDescent="0.3">
      <c r="A40" s="10" t="s">
        <v>39</v>
      </c>
      <c r="B40" s="50">
        <f t="shared" si="0"/>
        <v>0</v>
      </c>
      <c r="C40" s="50">
        <f>SUMIF(Hovedlaget!B:B,'Samlet budsjett'!A40,Hovedlaget!AB:AB)</f>
        <v>0</v>
      </c>
      <c r="D40" s="50">
        <f>SUMIF(Allidrett!B:B,'Samlet budsjett'!A40,Allidrett!AB:AB)</f>
        <v>0</v>
      </c>
      <c r="E40" s="50">
        <f>SUMIF(Bueskyting!B:B,'Samlet budsjett'!A40,Bueskyting!AB:AB)</f>
        <v>0</v>
      </c>
      <c r="F40" s="50">
        <f>SUMIF(Tennis!B:B,'Samlet budsjett'!A40,Tennis!AB:AB)</f>
        <v>0</v>
      </c>
      <c r="G40" s="50">
        <f>SUMIF(Svømming!B:B,'Samlet budsjett'!A40,Svømming!AB:AB)</f>
        <v>0</v>
      </c>
      <c r="H40" s="50">
        <f>SUMIF(Fotball!B:B,'Samlet budsjett'!A40,Fotball!AB:AB)</f>
        <v>0</v>
      </c>
      <c r="I40" s="50">
        <f>SUMIF(Håndball!B:B,'Samlet budsjett'!A40,Håndball!AB:AB)</f>
        <v>0</v>
      </c>
      <c r="J40" s="50">
        <f>SUMIF(Futsal!B:B,'Samlet budsjett'!A:A,Futsal!AB:AB)</f>
        <v>0</v>
      </c>
      <c r="K40" s="50">
        <f>SUMIF('Tur og Friluftsliv'!A:A,'Samlet budsjett'!A40,'Tur og Friluftsliv'!AB:AB)</f>
        <v>0</v>
      </c>
      <c r="L40" s="50">
        <f>SUMIF('E-sport'!B:B,'Samlet budsjett'!A40,'E-sport'!AB:AB)</f>
        <v>0</v>
      </c>
      <c r="M40" s="50">
        <f>SUMIF(Prosjekt!B:B,'Samlet budsjett'!A40,Prosjekt!G:G)</f>
        <v>0</v>
      </c>
    </row>
    <row r="41" spans="1:13" hidden="1" outlineLevel="1" collapsed="1" x14ac:dyDescent="0.3">
      <c r="A41" s="10" t="s">
        <v>40</v>
      </c>
      <c r="B41" s="50">
        <f t="shared" si="0"/>
        <v>0</v>
      </c>
      <c r="C41" s="50">
        <f>SUMIF(Hovedlaget!B:B,'Samlet budsjett'!A41,Hovedlaget!AB:AB)</f>
        <v>0</v>
      </c>
      <c r="D41" s="50">
        <f>SUMIF(Allidrett!B:B,'Samlet budsjett'!A41,Allidrett!AB:AB)</f>
        <v>0</v>
      </c>
      <c r="E41" s="50">
        <f>SUMIF(Bueskyting!B:B,'Samlet budsjett'!A41,Bueskyting!AB:AB)</f>
        <v>0</v>
      </c>
      <c r="F41" s="50">
        <f>SUMIF(Tennis!B:B,'Samlet budsjett'!A41,Tennis!AB:AB)</f>
        <v>0</v>
      </c>
      <c r="G41" s="50">
        <f>SUMIF(Svømming!B:B,'Samlet budsjett'!A41,Svømming!AB:AB)</f>
        <v>0</v>
      </c>
      <c r="H41" s="50">
        <f>SUMIF(Fotball!B:B,'Samlet budsjett'!A41,Fotball!AB:AB)</f>
        <v>0</v>
      </c>
      <c r="I41" s="50">
        <f>SUMIF(Håndball!B:B,'Samlet budsjett'!A41,Håndball!AB:AB)</f>
        <v>0</v>
      </c>
      <c r="J41" s="50">
        <f>SUMIF(Futsal!B:B,'Samlet budsjett'!A:A,Futsal!AB:AB)</f>
        <v>0</v>
      </c>
      <c r="K41" s="50">
        <f>SUMIF('Tur og Friluftsliv'!A:A,'Samlet budsjett'!A41,'Tur og Friluftsliv'!AB:AB)</f>
        <v>0</v>
      </c>
      <c r="L41" s="50">
        <f>SUMIF('E-sport'!B:B,'Samlet budsjett'!A41,'E-sport'!AB:AB)</f>
        <v>0</v>
      </c>
      <c r="M41" s="50">
        <f>SUMIF(Prosjekt!B:B,'Samlet budsjett'!A41,Prosjekt!G:G)</f>
        <v>0</v>
      </c>
    </row>
    <row r="42" spans="1:13" collapsed="1" x14ac:dyDescent="0.3">
      <c r="A42" s="8" t="s">
        <v>7</v>
      </c>
      <c r="B42" s="49">
        <f t="shared" si="0"/>
        <v>-1215858</v>
      </c>
      <c r="C42" s="49">
        <f t="shared" ref="C42:K42" si="10">SUM(C43:C48)</f>
        <v>-552576</v>
      </c>
      <c r="D42" s="49">
        <f>SUM(D43:D48)</f>
        <v>-8000</v>
      </c>
      <c r="E42" s="49">
        <f>SUM(E43:E48)</f>
        <v>0</v>
      </c>
      <c r="F42" s="49">
        <f>SUM(F43:F48)</f>
        <v>0</v>
      </c>
      <c r="G42" s="49">
        <f>SUM(G43:G48)</f>
        <v>-86000</v>
      </c>
      <c r="H42" s="49">
        <f>SUM(H43:H48)</f>
        <v>0</v>
      </c>
      <c r="I42" s="49">
        <f t="shared" ref="I42" si="11">SUM(I43:I48)</f>
        <v>-84282</v>
      </c>
      <c r="J42" s="49">
        <f>SUM(J43:J48)</f>
        <v>-10000</v>
      </c>
      <c r="K42" s="49">
        <f t="shared" si="10"/>
        <v>-10000</v>
      </c>
      <c r="L42" s="49">
        <f t="shared" ref="L42:M42" si="12">SUM(L43:L48)</f>
        <v>-6000</v>
      </c>
      <c r="M42" s="49">
        <f t="shared" si="12"/>
        <v>-459000</v>
      </c>
    </row>
    <row r="43" spans="1:13" hidden="1" outlineLevel="1" x14ac:dyDescent="0.3">
      <c r="A43" s="10" t="s">
        <v>156</v>
      </c>
      <c r="B43" s="50">
        <f t="shared" si="0"/>
        <v>-547576</v>
      </c>
      <c r="C43" s="50">
        <f>SUMIF(Hovedlaget!B:B,'Samlet budsjett'!A43,Hovedlaget!AB:AB)</f>
        <v>-547576</v>
      </c>
      <c r="D43" s="50">
        <f>SUMIF(Allidrett!B:B,'Samlet budsjett'!A43,Allidrett!AB:AB)</f>
        <v>0</v>
      </c>
      <c r="E43" s="50">
        <f>SUMIF(Bueskyting!B:B,'Samlet budsjett'!A43,Bueskyting!AB:AB)</f>
        <v>0</v>
      </c>
      <c r="F43" s="50">
        <f>SUMIF(Tennis!B:B,'Samlet budsjett'!A43,Tennis!AB:AB)</f>
        <v>0</v>
      </c>
      <c r="G43" s="50">
        <f>SUMIF(Svømming!B:B,'Samlet budsjett'!A43,Svømming!AB:AB)</f>
        <v>0</v>
      </c>
      <c r="H43" s="50">
        <f>SUMIF(Fotball!B:B,'Samlet budsjett'!A43,Fotball!AB:AB)</f>
        <v>0</v>
      </c>
      <c r="I43" s="50">
        <f>SUMIF(Håndball!B:B,'Samlet budsjett'!A43,Håndball!AB:AB)</f>
        <v>0</v>
      </c>
      <c r="J43" s="50">
        <f>SUMIF(Futsal!B:B,'Samlet budsjett'!A:A,Futsal!AB:AB)</f>
        <v>0</v>
      </c>
      <c r="K43" s="50">
        <f>SUMIF('Tur og Friluftsliv'!A:A,'Samlet budsjett'!A43,'Tur og Friluftsliv'!AB:AB)</f>
        <v>0</v>
      </c>
      <c r="L43" s="50">
        <f>SUMIF('E-sport'!B:B,'Samlet budsjett'!A43,'E-sport'!AB:AB)</f>
        <v>0</v>
      </c>
      <c r="M43" s="50">
        <f>SUMIF(Prosjekt!B:B,'Samlet budsjett'!A43,Prosjekt!G:G)</f>
        <v>0</v>
      </c>
    </row>
    <row r="44" spans="1:13" hidden="1" outlineLevel="1" x14ac:dyDescent="0.3">
      <c r="A44" s="10" t="str">
        <f>"3950"&amp;" - "&amp;"Fordeling mellom gruppene"</f>
        <v>3950 - Fordeling mellom gruppene</v>
      </c>
      <c r="B44" s="50">
        <f t="shared" si="0"/>
        <v>0</v>
      </c>
      <c r="C44" s="50">
        <f>SUMIF(Hovedlaget!B:B,'Samlet budsjett'!A44,Hovedlaget!AB:AB)</f>
        <v>0</v>
      </c>
      <c r="D44" s="50">
        <f>SUMIF(Allidrett!B:B,'Samlet budsjett'!A44,Allidrett!AB:AB)</f>
        <v>0</v>
      </c>
      <c r="E44" s="50">
        <f>SUMIF(Bueskyting!B:B,'Samlet budsjett'!A44,Bueskyting!AB:AB)</f>
        <v>0</v>
      </c>
      <c r="F44" s="50">
        <f>SUMIF(Tennis!B:B,'Samlet budsjett'!A44,Tennis!AB:AB)</f>
        <v>0</v>
      </c>
      <c r="G44" s="50">
        <f>SUMIF(Svømming!B:B,'Samlet budsjett'!A44,Svømming!AB:AB)</f>
        <v>0</v>
      </c>
      <c r="H44" s="50">
        <f>SUMIF(Fotball!B:B,'Samlet budsjett'!A44,Fotball!AB:AB)</f>
        <v>0</v>
      </c>
      <c r="I44" s="50">
        <f>SUMIF(Håndball!B:B,'Samlet budsjett'!A44,Håndball!AB:AB)</f>
        <v>0</v>
      </c>
      <c r="J44" s="50">
        <f>SUMIF(Futsal!B:B,'Samlet budsjett'!A:A,Futsal!AB:AB)</f>
        <v>0</v>
      </c>
      <c r="K44" s="50">
        <f>SUMIF('Tur og Friluftsliv'!A:A,'Samlet budsjett'!A44,'Tur og Friluftsliv'!AB:AB)</f>
        <v>0</v>
      </c>
      <c r="L44" s="50">
        <f>SUMIF('E-sport'!B:B,'Samlet budsjett'!A44,'E-sport'!AB:AB)</f>
        <v>0</v>
      </c>
      <c r="M44" s="50">
        <f>SUMIF(Prosjekt!B:B,'Samlet budsjett'!A44,Prosjekt!G:G)</f>
        <v>0</v>
      </c>
    </row>
    <row r="45" spans="1:13" hidden="1" outlineLevel="1" x14ac:dyDescent="0.3">
      <c r="A45" s="38" t="s">
        <v>161</v>
      </c>
      <c r="B45" s="50">
        <f t="shared" si="0"/>
        <v>-25000</v>
      </c>
      <c r="C45" s="50">
        <f>SUMIF(Hovedlaget!B:B,'Samlet budsjett'!A45,Hovedlaget!AB:AB)</f>
        <v>0</v>
      </c>
      <c r="D45" s="50">
        <f>SUMIF(Allidrett!B:B,'Samlet budsjett'!A45,Allidrett!AB:AB)</f>
        <v>0</v>
      </c>
      <c r="E45" s="50">
        <f>SUMIF(Bueskyting!B:B,'Samlet budsjett'!A45,Bueskyting!AB:AB)</f>
        <v>0</v>
      </c>
      <c r="F45" s="50">
        <f>SUMIF(Tennis!B:B,'Samlet budsjett'!A45,Tennis!AB:AB)</f>
        <v>0</v>
      </c>
      <c r="G45" s="50">
        <f>SUMIF(Svømming!B:B,'Samlet budsjett'!A45,Svømming!AB:AB)</f>
        <v>-25000</v>
      </c>
      <c r="H45" s="50">
        <f>SUMIF(Fotball!B:B,'Samlet budsjett'!A45,Fotball!AB:AB)</f>
        <v>0</v>
      </c>
      <c r="I45" s="50">
        <f>SUMIF(Håndball!B:B,'Samlet budsjett'!A45,Håndball!AB:AB)</f>
        <v>0</v>
      </c>
      <c r="J45" s="50">
        <f>SUMIF(Futsal!B:B,'Samlet budsjett'!A:A,Futsal!AB:AB)</f>
        <v>0</v>
      </c>
      <c r="K45" s="50">
        <f>SUMIF('Tur og Friluftsliv'!A:A,'Samlet budsjett'!A45,'Tur og Friluftsliv'!AB:AB)</f>
        <v>0</v>
      </c>
      <c r="L45" s="50">
        <f>SUMIF('E-sport'!B:B,'Samlet budsjett'!A45,'E-sport'!AB:AB)</f>
        <v>0</v>
      </c>
      <c r="M45" s="50">
        <f>SUMIF(Prosjekt!B:B,'Samlet budsjett'!A45,Prosjekt!G:G)</f>
        <v>0</v>
      </c>
    </row>
    <row r="46" spans="1:13" hidden="1" outlineLevel="1" collapsed="1" x14ac:dyDescent="0.3">
      <c r="A46" s="10" t="s">
        <v>41</v>
      </c>
      <c r="B46" s="50">
        <f t="shared" si="0"/>
        <v>-5000</v>
      </c>
      <c r="C46" s="50">
        <f>SUMIF(Hovedlaget!B:B,'Samlet budsjett'!A46,Hovedlaget!AB:AB)</f>
        <v>-5000</v>
      </c>
      <c r="D46" s="50">
        <f>SUMIF(Allidrett!B:B,'Samlet budsjett'!A46,Allidrett!AB:AB)</f>
        <v>0</v>
      </c>
      <c r="E46" s="50">
        <f>SUMIF(Bueskyting!B:B,'Samlet budsjett'!A46,Bueskyting!AB:AB)</f>
        <v>0</v>
      </c>
      <c r="F46" s="50">
        <f>SUMIF(Tennis!B:B,'Samlet budsjett'!A46,Tennis!AB:AB)</f>
        <v>0</v>
      </c>
      <c r="G46" s="50">
        <f>SUMIF(Svømming!B:B,'Samlet budsjett'!A46,Svømming!AB:AB)</f>
        <v>0</v>
      </c>
      <c r="H46" s="50">
        <f>SUMIF(Fotball!B:B,'Samlet budsjett'!A46,Fotball!AB:AB)</f>
        <v>0</v>
      </c>
      <c r="I46" s="50">
        <f>SUMIF(Håndball!B:B,'Samlet budsjett'!A46,Håndball!AB:AB)</f>
        <v>0</v>
      </c>
      <c r="J46" s="50">
        <f>SUMIF(Futsal!B:B,'Samlet budsjett'!A:A,Futsal!AB:AB)</f>
        <v>0</v>
      </c>
      <c r="K46" s="50">
        <f>SUMIF('Tur og Friluftsliv'!A:A,'Samlet budsjett'!A46,'Tur og Friluftsliv'!AB:AB)</f>
        <v>0</v>
      </c>
      <c r="L46" s="50">
        <f>SUMIF('E-sport'!B:B,'Samlet budsjett'!A46,'E-sport'!AB:AB)</f>
        <v>0</v>
      </c>
      <c r="M46" s="50">
        <f>SUMIF(Prosjekt!B:B,'Samlet budsjett'!A46,Prosjekt!G:G)</f>
        <v>0</v>
      </c>
    </row>
    <row r="47" spans="1:13" hidden="1" outlineLevel="1" x14ac:dyDescent="0.3">
      <c r="A47" s="10" t="str">
        <f>"3990"&amp;" - "&amp;"Inntekt lagskasse"</f>
        <v>3990 - Inntekt lagskasse</v>
      </c>
      <c r="B47" s="50">
        <f t="shared" si="0"/>
        <v>0</v>
      </c>
      <c r="C47" s="50">
        <f>SUMIF(Hovedlaget!B:B,'Samlet budsjett'!A47,Hovedlaget!AB:AB)</f>
        <v>0</v>
      </c>
      <c r="D47" s="50">
        <f>SUMIF(Allidrett!B:B,'Samlet budsjett'!A47,Allidrett!AB:AB)</f>
        <v>0</v>
      </c>
      <c r="E47" s="50">
        <f>SUMIF(Bueskyting!B:B,'Samlet budsjett'!A47,Bueskyting!AB:AB)</f>
        <v>0</v>
      </c>
      <c r="F47" s="50">
        <f>SUMIF(Tennis!B:B,'Samlet budsjett'!A47,Tennis!AB:AB)</f>
        <v>0</v>
      </c>
      <c r="G47" s="50">
        <f>SUMIF(Svømming!B:B,'Samlet budsjett'!A47,Svømming!AB:AB)</f>
        <v>0</v>
      </c>
      <c r="H47" s="50">
        <f>SUMIF(Fotball!B:B,'Samlet budsjett'!A47,Fotball!AB:AB)</f>
        <v>0</v>
      </c>
      <c r="I47" s="50">
        <f>SUMIF(Håndball!B:B,'Samlet budsjett'!A47,Håndball!AB:AB)</f>
        <v>0</v>
      </c>
      <c r="J47" s="50">
        <f>SUMIF(Futsal!B:B,'Samlet budsjett'!A:A,Futsal!AB:AB)</f>
        <v>0</v>
      </c>
      <c r="K47" s="50">
        <f>SUMIF('Tur og Friluftsliv'!A:A,'Samlet budsjett'!A47,'Tur og Friluftsliv'!AB:AB)</f>
        <v>0</v>
      </c>
      <c r="L47" s="50">
        <f>SUMIF('E-sport'!B:B,'Samlet budsjett'!A47,'E-sport'!AB:AB)</f>
        <v>0</v>
      </c>
      <c r="M47" s="50">
        <f>SUMIF(Prosjekt!B:B,'Samlet budsjett'!A47,Prosjekt!G:G)</f>
        <v>0</v>
      </c>
    </row>
    <row r="48" spans="1:13" hidden="1" outlineLevel="1" collapsed="1" x14ac:dyDescent="0.3">
      <c r="A48" s="10" t="s">
        <v>42</v>
      </c>
      <c r="B48" s="50">
        <f t="shared" si="0"/>
        <v>-638282</v>
      </c>
      <c r="C48" s="50">
        <f>SUMIF(Hovedlaget!B:B,'Samlet budsjett'!A48,Hovedlaget!AB:AB)</f>
        <v>0</v>
      </c>
      <c r="D48" s="50">
        <f>SUMIF(Allidrett!B:B,'Samlet budsjett'!A48,Allidrett!AB:AB)</f>
        <v>-8000</v>
      </c>
      <c r="E48" s="50">
        <f>SUMIF(Bueskyting!B:B,'Samlet budsjett'!A48,Bueskyting!AB:AB)</f>
        <v>0</v>
      </c>
      <c r="F48" s="50">
        <f>SUMIF(Tennis!B:B,'Samlet budsjett'!A48,Tennis!AB:AB)</f>
        <v>0</v>
      </c>
      <c r="G48" s="50">
        <f>SUMIF(Svømming!B:B,'Samlet budsjett'!A48,Svømming!AB:AB)</f>
        <v>-61000</v>
      </c>
      <c r="H48" s="50">
        <f>SUMIF(Fotball!B:B,'Samlet budsjett'!A48,Fotball!AB:AB)</f>
        <v>0</v>
      </c>
      <c r="I48" s="50">
        <f>SUMIF(Håndball!B:B,'Samlet budsjett'!A48,Håndball!AB:AB)</f>
        <v>-84282</v>
      </c>
      <c r="J48" s="50">
        <v>-10000</v>
      </c>
      <c r="K48" s="50">
        <v>-10000</v>
      </c>
      <c r="L48" s="50">
        <f>SUMIF('E-sport'!B:B,'Samlet budsjett'!A48,'E-sport'!AB:AB)</f>
        <v>-6000</v>
      </c>
      <c r="M48" s="50">
        <f>SUMIF(Prosjekt!B:B,'Samlet budsjett'!A48,Prosjekt!G:G)</f>
        <v>-459000</v>
      </c>
    </row>
    <row r="49" spans="1:13" collapsed="1" x14ac:dyDescent="0.3">
      <c r="A49" s="15" t="s">
        <v>8</v>
      </c>
      <c r="B49" s="51">
        <f t="shared" si="0"/>
        <v>-14348087.666666668</v>
      </c>
      <c r="C49" s="51">
        <f t="shared" ref="C49:K49" si="13">C8+C27+C33+C42</f>
        <v>-5687315.666666667</v>
      </c>
      <c r="D49" s="51">
        <f t="shared" ref="D49" si="14">D8+D27+D33+D42</f>
        <v>-21500</v>
      </c>
      <c r="E49" s="51">
        <f>E8+E27+E33+E42</f>
        <v>-837767</v>
      </c>
      <c r="F49" s="51">
        <f>F8+F27+F33+F42</f>
        <v>-174176</v>
      </c>
      <c r="G49" s="51">
        <f>G8+G27+G33+G42</f>
        <v>-955266</v>
      </c>
      <c r="H49" s="51">
        <f>H8+H27+H33+H42</f>
        <v>-2685739</v>
      </c>
      <c r="I49" s="51">
        <f t="shared" ref="I49" si="15">I8+I27+I33+I42</f>
        <v>-1087444</v>
      </c>
      <c r="J49" s="51">
        <f>J8+J27+J33+J42</f>
        <v>-53000</v>
      </c>
      <c r="K49" s="51">
        <f t="shared" si="13"/>
        <v>-57000</v>
      </c>
      <c r="L49" s="51">
        <f t="shared" ref="L49:M49" si="16">L8+L27+L33+L42</f>
        <v>-100307</v>
      </c>
      <c r="M49" s="51">
        <f t="shared" si="16"/>
        <v>-2688573</v>
      </c>
    </row>
    <row r="50" spans="1:13" x14ac:dyDescent="0.3">
      <c r="A50" s="18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</row>
    <row r="51" spans="1:13" x14ac:dyDescent="0.3">
      <c r="A51" s="17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</row>
    <row r="52" spans="1:13" ht="21" x14ac:dyDescent="0.4">
      <c r="A52" s="6" t="s">
        <v>9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  <row r="53" spans="1:13" collapsed="1" x14ac:dyDescent="0.3">
      <c r="A53" s="8" t="s">
        <v>10</v>
      </c>
      <c r="B53" s="49">
        <f t="shared" ref="B53:B84" si="17">SUM(C53:M53)</f>
        <v>3249250</v>
      </c>
      <c r="C53" s="49">
        <f t="shared" ref="C53:K53" si="18">SUM(C54:C79)</f>
        <v>975000</v>
      </c>
      <c r="D53" s="49">
        <f t="shared" ref="D53:J53" si="19">SUM(D54:D79)</f>
        <v>7000</v>
      </c>
      <c r="E53" s="49">
        <f t="shared" si="19"/>
        <v>731500</v>
      </c>
      <c r="F53" s="49">
        <f t="shared" si="19"/>
        <v>39750</v>
      </c>
      <c r="G53" s="49">
        <f t="shared" si="19"/>
        <v>252000</v>
      </c>
      <c r="H53" s="49">
        <f t="shared" si="19"/>
        <v>555000</v>
      </c>
      <c r="I53" s="49">
        <f t="shared" si="19"/>
        <v>656000</v>
      </c>
      <c r="J53" s="49">
        <f t="shared" si="19"/>
        <v>17000</v>
      </c>
      <c r="K53" s="49">
        <f t="shared" si="18"/>
        <v>10000</v>
      </c>
      <c r="L53" s="49">
        <f t="shared" ref="L53:M53" si="20">SUM(L54:L79)</f>
        <v>6000</v>
      </c>
      <c r="M53" s="49">
        <f t="shared" si="20"/>
        <v>0</v>
      </c>
    </row>
    <row r="54" spans="1:13" hidden="1" outlineLevel="1" x14ac:dyDescent="0.3">
      <c r="A54" s="10" t="s">
        <v>43</v>
      </c>
      <c r="B54" s="50">
        <f t="shared" si="17"/>
        <v>180000</v>
      </c>
      <c r="C54" s="50">
        <f>SUMIF(Hovedlaget!B:B,'Samlet budsjett'!A54,Hovedlaget!AB:AB)</f>
        <v>180000</v>
      </c>
      <c r="D54" s="50">
        <f>SUMIF(Allidrett!B:B,'Samlet budsjett'!A54,Allidrett!AB:AB)</f>
        <v>0</v>
      </c>
      <c r="E54" s="50">
        <f>SUMIF(Bueskyting!B:B,'Samlet budsjett'!A54,Bueskyting!AB:AB)</f>
        <v>0</v>
      </c>
      <c r="F54" s="50">
        <f>SUMIF(Tennis!B:B,'Samlet budsjett'!A54,Tennis!AB:AB)</f>
        <v>0</v>
      </c>
      <c r="G54" s="50">
        <f>SUMIF(Svømming!B:B,'Samlet budsjett'!A54,Svømming!AB:AB)</f>
        <v>0</v>
      </c>
      <c r="H54" s="50">
        <f>SUMIF(Fotball!B:B,'Samlet budsjett'!A54,Fotball!AB:AB)</f>
        <v>0</v>
      </c>
      <c r="I54" s="50">
        <f>SUMIF(Håndball!B:B,'Samlet budsjett'!A54,Håndball!AB:AB)</f>
        <v>0</v>
      </c>
      <c r="J54" s="50">
        <f>SUMIF(Futsal!B:B,'Samlet budsjett'!A:A,Futsal!AB:AB)</f>
        <v>0</v>
      </c>
      <c r="K54" s="50">
        <f>SUMIF('Tur og Friluftsliv'!B:B,'Samlet budsjett'!A54,'Tur og Friluftsliv'!AB:AB)</f>
        <v>0</v>
      </c>
      <c r="L54" s="50">
        <f>SUMIF('E-sport'!B:B,'Samlet budsjett'!A54,'E-sport'!AB:AB)</f>
        <v>0</v>
      </c>
      <c r="M54" s="50">
        <f>SUMIF(Prosjekt!B:B,'Samlet budsjett'!A54,Prosjekt!G:G)</f>
        <v>0</v>
      </c>
    </row>
    <row r="55" spans="1:13" hidden="1" outlineLevel="1" collapsed="1" x14ac:dyDescent="0.3">
      <c r="A55" s="10" t="s">
        <v>44</v>
      </c>
      <c r="B55" s="50">
        <f t="shared" si="17"/>
        <v>0</v>
      </c>
      <c r="C55" s="50">
        <f>SUMIF(Hovedlaget!B:B,'Samlet budsjett'!A55,Hovedlaget!AB:AB)</f>
        <v>0</v>
      </c>
      <c r="D55" s="50">
        <f>SUMIF(Allidrett!B:B,'Samlet budsjett'!A55,Allidrett!AB:AB)</f>
        <v>0</v>
      </c>
      <c r="E55" s="50">
        <f>SUMIF(Bueskyting!B:B,'Samlet budsjett'!A55,Bueskyting!AB:AB)</f>
        <v>0</v>
      </c>
      <c r="F55" s="50">
        <f>SUMIF(Tennis!B:B,'Samlet budsjett'!A55,Tennis!AB:AB)</f>
        <v>0</v>
      </c>
      <c r="G55" s="50">
        <f>SUMIF(Svømming!B:B,'Samlet budsjett'!A55,Svømming!AB:AB)</f>
        <v>0</v>
      </c>
      <c r="H55" s="50">
        <f>SUMIF(Fotball!B:B,'Samlet budsjett'!A55,Fotball!AB:AB)</f>
        <v>0</v>
      </c>
      <c r="I55" s="50">
        <f>SUMIF(Håndball!B:B,'Samlet budsjett'!A55,Håndball!AB:AB)</f>
        <v>0</v>
      </c>
      <c r="J55" s="50">
        <f>SUMIF(Futsal!B:B,'Samlet budsjett'!A:A,Futsal!AB:AB)</f>
        <v>0</v>
      </c>
      <c r="K55" s="50">
        <f>SUMIF('Tur og Friluftsliv'!B:B,'Samlet budsjett'!A55,'Tur og Friluftsliv'!AB:AB)</f>
        <v>0</v>
      </c>
      <c r="L55" s="50">
        <f>SUMIF('E-sport'!B:B,'Samlet budsjett'!A55,'E-sport'!AB:AB)</f>
        <v>0</v>
      </c>
      <c r="M55" s="50">
        <f>SUMIF(Prosjekt!B:B,'Samlet budsjett'!A55,Prosjekt!G:G)</f>
        <v>0</v>
      </c>
    </row>
    <row r="56" spans="1:13" hidden="1" outlineLevel="1" collapsed="1" x14ac:dyDescent="0.3">
      <c r="A56" s="10" t="s">
        <v>45</v>
      </c>
      <c r="B56" s="50">
        <f t="shared" si="17"/>
        <v>0</v>
      </c>
      <c r="C56" s="50">
        <f>SUMIF(Hovedlaget!B:B,'Samlet budsjett'!A56,Hovedlaget!AB:AB)</f>
        <v>0</v>
      </c>
      <c r="D56" s="50">
        <f>SUMIF(Allidrett!B:B,'Samlet budsjett'!A56,Allidrett!AB:AB)</f>
        <v>0</v>
      </c>
      <c r="E56" s="50">
        <f>SUMIF(Bueskyting!B:B,'Samlet budsjett'!A56,Bueskyting!AB:AB)</f>
        <v>0</v>
      </c>
      <c r="F56" s="50">
        <f>SUMIF(Tennis!B:B,'Samlet budsjett'!A56,Tennis!AB:AB)</f>
        <v>0</v>
      </c>
      <c r="G56" s="50">
        <f>SUMIF(Svømming!B:B,'Samlet budsjett'!A56,Svømming!AB:AB)</f>
        <v>0</v>
      </c>
      <c r="H56" s="50">
        <f>SUMIF(Fotball!B:B,'Samlet budsjett'!A56,Fotball!AB:AB)</f>
        <v>0</v>
      </c>
      <c r="I56" s="50">
        <f>SUMIF(Håndball!B:B,'Samlet budsjett'!A56,Håndball!AB:AB)</f>
        <v>0</v>
      </c>
      <c r="J56" s="50">
        <f>SUMIF(Futsal!B:B,'Samlet budsjett'!A:A,Futsal!AB:AB)</f>
        <v>0</v>
      </c>
      <c r="K56" s="50">
        <f>SUMIF('Tur og Friluftsliv'!B:B,'Samlet budsjett'!A56,'Tur og Friluftsliv'!AB:AB)</f>
        <v>0</v>
      </c>
      <c r="L56" s="50">
        <f>SUMIF('E-sport'!B:B,'Samlet budsjett'!A56,'E-sport'!AB:AB)</f>
        <v>0</v>
      </c>
      <c r="M56" s="50">
        <f>SUMIF(Prosjekt!B:B,'Samlet budsjett'!A56,Prosjekt!G:G)</f>
        <v>0</v>
      </c>
    </row>
    <row r="57" spans="1:13" hidden="1" outlineLevel="1" collapsed="1" x14ac:dyDescent="0.3">
      <c r="A57" s="10" t="s">
        <v>46</v>
      </c>
      <c r="B57" s="50">
        <f t="shared" si="17"/>
        <v>0</v>
      </c>
      <c r="C57" s="50">
        <f>SUMIF(Hovedlaget!B:B,'Samlet budsjett'!A57,Hovedlaget!AB:AB)</f>
        <v>0</v>
      </c>
      <c r="D57" s="50">
        <f>SUMIF(Allidrett!B:B,'Samlet budsjett'!A57,Allidrett!AB:AB)</f>
        <v>0</v>
      </c>
      <c r="E57" s="50">
        <f>SUMIF(Bueskyting!B:B,'Samlet budsjett'!A57,Bueskyting!AB:AB)</f>
        <v>0</v>
      </c>
      <c r="F57" s="50">
        <f>SUMIF(Tennis!B:B,'Samlet budsjett'!A57,Tennis!AB:AB)</f>
        <v>0</v>
      </c>
      <c r="G57" s="50">
        <f>SUMIF(Svømming!B:B,'Samlet budsjett'!A57,Svømming!AB:AB)</f>
        <v>0</v>
      </c>
      <c r="H57" s="50">
        <f>SUMIF(Fotball!B:B,'Samlet budsjett'!A57,Fotball!AB:AB)</f>
        <v>0</v>
      </c>
      <c r="I57" s="50">
        <f>SUMIF(Håndball!B:B,'Samlet budsjett'!A57,Håndball!AB:AB)</f>
        <v>0</v>
      </c>
      <c r="J57" s="50">
        <f>SUMIF(Futsal!B:B,'Samlet budsjett'!A:A,Futsal!AB:AB)</f>
        <v>0</v>
      </c>
      <c r="K57" s="50">
        <f>SUMIF('Tur og Friluftsliv'!B:B,'Samlet budsjett'!A57,'Tur og Friluftsliv'!AB:AB)</f>
        <v>0</v>
      </c>
      <c r="L57" s="50">
        <f>SUMIF('E-sport'!B:B,'Samlet budsjett'!A57,'E-sport'!AB:AB)</f>
        <v>0</v>
      </c>
      <c r="M57" s="50">
        <f>SUMIF(Prosjekt!B:B,'Samlet budsjett'!A57,Prosjekt!G:G)</f>
        <v>0</v>
      </c>
    </row>
    <row r="58" spans="1:13" hidden="1" outlineLevel="1" collapsed="1" x14ac:dyDescent="0.3">
      <c r="A58" s="10" t="s">
        <v>47</v>
      </c>
      <c r="B58" s="50">
        <f t="shared" si="17"/>
        <v>0</v>
      </c>
      <c r="C58" s="50">
        <f>SUMIF(Hovedlaget!B:B,'Samlet budsjett'!A58,Hovedlaget!AB:AB)</f>
        <v>0</v>
      </c>
      <c r="D58" s="50">
        <f>SUMIF(Allidrett!B:B,'Samlet budsjett'!A58,Allidrett!AB:AB)</f>
        <v>0</v>
      </c>
      <c r="E58" s="50">
        <f>SUMIF(Bueskyting!B:B,'Samlet budsjett'!A58,Bueskyting!AB:AB)</f>
        <v>0</v>
      </c>
      <c r="F58" s="50">
        <f>SUMIF(Tennis!B:B,'Samlet budsjett'!A58,Tennis!AB:AB)</f>
        <v>0</v>
      </c>
      <c r="G58" s="50">
        <f>SUMIF(Svømming!B:B,'Samlet budsjett'!A58,Svømming!AB:AB)</f>
        <v>0</v>
      </c>
      <c r="H58" s="50">
        <f>SUMIF(Fotball!B:B,'Samlet budsjett'!A58,Fotball!AB:AB)</f>
        <v>0</v>
      </c>
      <c r="I58" s="50">
        <f>SUMIF(Håndball!B:B,'Samlet budsjett'!A58,Håndball!AB:AB)</f>
        <v>0</v>
      </c>
      <c r="J58" s="50">
        <f>SUMIF(Futsal!B:B,'Samlet budsjett'!A:A,Futsal!AB:AB)</f>
        <v>0</v>
      </c>
      <c r="K58" s="50">
        <f>SUMIF('Tur og Friluftsliv'!B:B,'Samlet budsjett'!A58,'Tur og Friluftsliv'!AB:AB)</f>
        <v>0</v>
      </c>
      <c r="L58" s="50">
        <f>SUMIF('E-sport'!B:B,'Samlet budsjett'!A58,'E-sport'!AB:AB)</f>
        <v>0</v>
      </c>
      <c r="M58" s="50">
        <f>SUMIF(Prosjekt!B:B,'Samlet budsjett'!A58,Prosjekt!G:G)</f>
        <v>0</v>
      </c>
    </row>
    <row r="59" spans="1:13" hidden="1" outlineLevel="1" collapsed="1" x14ac:dyDescent="0.3">
      <c r="A59" s="10" t="s">
        <v>48</v>
      </c>
      <c r="B59" s="50">
        <f t="shared" si="17"/>
        <v>0</v>
      </c>
      <c r="C59" s="50">
        <f>SUMIF(Hovedlaget!B:B,'Samlet budsjett'!A59,Hovedlaget!AB:AB)</f>
        <v>0</v>
      </c>
      <c r="D59" s="50">
        <f>SUMIF(Allidrett!B:B,'Samlet budsjett'!A59,Allidrett!AB:AB)</f>
        <v>0</v>
      </c>
      <c r="E59" s="50">
        <f>SUMIF(Bueskyting!B:B,'Samlet budsjett'!A59,Bueskyting!AB:AB)</f>
        <v>0</v>
      </c>
      <c r="F59" s="50">
        <f>SUMIF(Tennis!B:B,'Samlet budsjett'!A59,Tennis!AB:AB)</f>
        <v>0</v>
      </c>
      <c r="G59" s="50">
        <f>SUMIF(Svømming!B:B,'Samlet budsjett'!A59,Svømming!AB:AB)</f>
        <v>0</v>
      </c>
      <c r="H59" s="50">
        <f>SUMIF(Fotball!B:B,'Samlet budsjett'!A59,Fotball!AB:AB)</f>
        <v>0</v>
      </c>
      <c r="I59" s="50">
        <f>SUMIF(Håndball!B:B,'Samlet budsjett'!A59,Håndball!AB:AB)</f>
        <v>0</v>
      </c>
      <c r="J59" s="50">
        <f>SUMIF(Futsal!B:B,'Samlet budsjett'!A:A,Futsal!AB:AB)</f>
        <v>0</v>
      </c>
      <c r="K59" s="50">
        <f>SUMIF('Tur og Friluftsliv'!B:B,'Samlet budsjett'!A59,'Tur og Friluftsliv'!AB:AB)</f>
        <v>0</v>
      </c>
      <c r="L59" s="50">
        <f>SUMIF('E-sport'!B:B,'Samlet budsjett'!A59,'E-sport'!AB:AB)</f>
        <v>0</v>
      </c>
      <c r="M59" s="50">
        <f>SUMIF(Prosjekt!B:B,'Samlet budsjett'!A59,Prosjekt!G:G)</f>
        <v>0</v>
      </c>
    </row>
    <row r="60" spans="1:13" hidden="1" outlineLevel="1" collapsed="1" x14ac:dyDescent="0.3">
      <c r="A60" s="10" t="s">
        <v>49</v>
      </c>
      <c r="B60" s="50">
        <f t="shared" si="17"/>
        <v>0</v>
      </c>
      <c r="C60" s="50">
        <f>SUMIF(Hovedlaget!B:B,'Samlet budsjett'!A60,Hovedlaget!AB:AB)</f>
        <v>0</v>
      </c>
      <c r="D60" s="50">
        <f>SUMIF(Allidrett!B:B,'Samlet budsjett'!A60,Allidrett!AB:AB)</f>
        <v>0</v>
      </c>
      <c r="E60" s="50">
        <f>SUMIF(Bueskyting!B:B,'Samlet budsjett'!A60,Bueskyting!AB:AB)</f>
        <v>0</v>
      </c>
      <c r="F60" s="50">
        <f>SUMIF(Tennis!B:B,'Samlet budsjett'!A60,Tennis!AB:AB)</f>
        <v>0</v>
      </c>
      <c r="G60" s="50">
        <f>SUMIF(Svømming!B:B,'Samlet budsjett'!A60,Svømming!AB:AB)</f>
        <v>0</v>
      </c>
      <c r="H60" s="50">
        <f>SUMIF(Fotball!B:B,'Samlet budsjett'!A60,Fotball!AB:AB)</f>
        <v>0</v>
      </c>
      <c r="I60" s="50">
        <f>SUMIF(Håndball!B:B,'Samlet budsjett'!A60,Håndball!AB:AB)</f>
        <v>0</v>
      </c>
      <c r="J60" s="50">
        <f>SUMIF(Futsal!B:B,'Samlet budsjett'!A:A,Futsal!AB:AB)</f>
        <v>0</v>
      </c>
      <c r="K60" s="50">
        <f>SUMIF('Tur og Friluftsliv'!B:B,'Samlet budsjett'!A60,'Tur og Friluftsliv'!AB:AB)</f>
        <v>0</v>
      </c>
      <c r="L60" s="50">
        <f>SUMIF('E-sport'!B:B,'Samlet budsjett'!A60,'E-sport'!AB:AB)</f>
        <v>0</v>
      </c>
      <c r="M60" s="50">
        <f>SUMIF(Prosjekt!B:B,'Samlet budsjett'!A60,Prosjekt!G:G)</f>
        <v>0</v>
      </c>
    </row>
    <row r="61" spans="1:13" hidden="1" outlineLevel="1" collapsed="1" x14ac:dyDescent="0.3">
      <c r="A61" s="10" t="s">
        <v>50</v>
      </c>
      <c r="B61" s="50">
        <f t="shared" si="17"/>
        <v>0</v>
      </c>
      <c r="C61" s="50">
        <f>SUMIF(Hovedlaget!B:B,'Samlet budsjett'!A61,Hovedlaget!AB:AB)</f>
        <v>0</v>
      </c>
      <c r="D61" s="50">
        <f>SUMIF(Allidrett!B:B,'Samlet budsjett'!A61,Allidrett!AB:AB)</f>
        <v>0</v>
      </c>
      <c r="E61" s="50">
        <f>SUMIF(Bueskyting!B:B,'Samlet budsjett'!A61,Bueskyting!AB:AB)</f>
        <v>0</v>
      </c>
      <c r="F61" s="50">
        <f>SUMIF(Tennis!B:B,'Samlet budsjett'!A61,Tennis!AB:AB)</f>
        <v>0</v>
      </c>
      <c r="G61" s="50">
        <f>SUMIF(Svømming!B:B,'Samlet budsjett'!A61,Svømming!AB:AB)</f>
        <v>0</v>
      </c>
      <c r="H61" s="50">
        <f>SUMIF(Fotball!B:B,'Samlet budsjett'!A61,Fotball!AB:AB)</f>
        <v>0</v>
      </c>
      <c r="I61" s="50">
        <f>SUMIF(Håndball!B:B,'Samlet budsjett'!A61,Håndball!AB:AB)</f>
        <v>0</v>
      </c>
      <c r="J61" s="50">
        <f>SUMIF(Futsal!B:B,'Samlet budsjett'!A:A,Futsal!AB:AB)</f>
        <v>0</v>
      </c>
      <c r="K61" s="50">
        <f>SUMIF('Tur og Friluftsliv'!B:B,'Samlet budsjett'!A61,'Tur og Friluftsliv'!AB:AB)</f>
        <v>0</v>
      </c>
      <c r="L61" s="50">
        <f>SUMIF('E-sport'!B:B,'Samlet budsjett'!A61,'E-sport'!AB:AB)</f>
        <v>0</v>
      </c>
      <c r="M61" s="50">
        <f>SUMIF(Prosjekt!B:B,'Samlet budsjett'!A61,Prosjekt!G:G)</f>
        <v>0</v>
      </c>
    </row>
    <row r="62" spans="1:13" hidden="1" outlineLevel="1" collapsed="1" x14ac:dyDescent="0.3">
      <c r="A62" s="10" t="s">
        <v>51</v>
      </c>
      <c r="B62" s="50">
        <f t="shared" si="17"/>
        <v>251000</v>
      </c>
      <c r="C62" s="50">
        <f>SUMIF(Hovedlaget!B:B,'Samlet budsjett'!A62,Hovedlaget!AB:AB)</f>
        <v>220000</v>
      </c>
      <c r="D62" s="50">
        <f>SUMIF(Allidrett!B:B,'Samlet budsjett'!A62,Allidrett!AB:AB)</f>
        <v>5000</v>
      </c>
      <c r="E62" s="50">
        <f>SUMIF(Bueskyting!B:B,'Samlet budsjett'!A62,Bueskyting!AB:AB)</f>
        <v>0</v>
      </c>
      <c r="F62" s="50">
        <f>SUMIF(Tennis!B:B,'Samlet budsjett'!A62,Tennis!AB:AB)</f>
        <v>0</v>
      </c>
      <c r="G62" s="50">
        <f>SUMIF(Svømming!B:B,'Samlet budsjett'!A62,Svømming!AB:AB)</f>
        <v>5000</v>
      </c>
      <c r="H62" s="50">
        <f>SUMIF(Fotball!B:B,'Samlet budsjett'!A62,Fotball!AB:AB)</f>
        <v>0</v>
      </c>
      <c r="I62" s="50">
        <f>SUMIF(Håndball!B:B,'Samlet budsjett'!A62,Håndball!AB:AB)</f>
        <v>17000</v>
      </c>
      <c r="J62" s="50">
        <f>SUMIF(Futsal!B:B,'Samlet budsjett'!A:A,Futsal!AB:AB)</f>
        <v>0</v>
      </c>
      <c r="K62" s="50">
        <f>SUMIF('Tur og Friluftsliv'!B:B,'Samlet budsjett'!A62,'Tur og Friluftsliv'!AB:AB)</f>
        <v>4000</v>
      </c>
      <c r="L62" s="50">
        <f>SUMIF('E-sport'!B:B,'Samlet budsjett'!A62,'E-sport'!AB:AB)</f>
        <v>0</v>
      </c>
      <c r="M62" s="50">
        <f>SUMIF(Prosjekt!B:B,'Samlet budsjett'!A62,Prosjekt!G:G)</f>
        <v>0</v>
      </c>
    </row>
    <row r="63" spans="1:13" hidden="1" outlineLevel="1" x14ac:dyDescent="0.3">
      <c r="A63" s="84" t="s">
        <v>220</v>
      </c>
      <c r="B63" s="50">
        <f t="shared" si="17"/>
        <v>4000</v>
      </c>
      <c r="C63" s="50">
        <f>SUMIF(Hovedlaget!B:B,'Samlet budsjett'!A63,Hovedlaget!AB:AB)</f>
        <v>0</v>
      </c>
      <c r="D63" s="50">
        <f>SUMIF(Allidrett!B:B,'Samlet budsjett'!A63,Allidrett!AB:AB)</f>
        <v>0</v>
      </c>
      <c r="E63" s="50">
        <f>SUMIF(Bueskyting!B:B,'Samlet budsjett'!A63,Bueskyting!AB:AB)</f>
        <v>0</v>
      </c>
      <c r="F63" s="50">
        <f>SUMIF(Tennis!B:B,'Samlet budsjett'!A63,Tennis!AB:AB)</f>
        <v>0</v>
      </c>
      <c r="G63" s="50">
        <f>SUMIF(Svømming!B:B,'Samlet budsjett'!A63,Svømming!AB:AB)</f>
        <v>0</v>
      </c>
      <c r="H63" s="50">
        <f>SUMIF(Fotball!B:B,'Samlet budsjett'!A63,Fotball!AB:AB)</f>
        <v>0</v>
      </c>
      <c r="I63" s="50">
        <f>SUMIF(Håndball!B:B,'Samlet budsjett'!A63,Håndball!AB:AB)</f>
        <v>4000</v>
      </c>
      <c r="J63" s="50">
        <f>SUMIF(Futsal!B:B,'Samlet budsjett'!A:A,Futsal!AB:AB)</f>
        <v>0</v>
      </c>
      <c r="K63" s="50">
        <f>SUMIF('Tur og Friluftsliv'!B:B,'Samlet budsjett'!A63,'Tur og Friluftsliv'!AB:AB)</f>
        <v>0</v>
      </c>
      <c r="L63" s="50">
        <f>SUMIF('E-sport'!B:B,'Samlet budsjett'!A63,'E-sport'!AB:AB)</f>
        <v>0</v>
      </c>
      <c r="M63" s="50">
        <f>SUMIF(Prosjekt!B:B,'Samlet budsjett'!A63,Prosjekt!G:G)</f>
        <v>0</v>
      </c>
    </row>
    <row r="64" spans="1:13" hidden="1" outlineLevel="1" x14ac:dyDescent="0.3">
      <c r="A64" s="10" t="s">
        <v>195</v>
      </c>
      <c r="B64" s="50">
        <f t="shared" si="17"/>
        <v>60000</v>
      </c>
      <c r="C64" s="50">
        <f>SUMIF(Hovedlaget!B:B,'Samlet budsjett'!A64,Hovedlaget!AB:AB)</f>
        <v>0</v>
      </c>
      <c r="D64" s="50">
        <f>SUMIF(Allidrett!B:B,'Samlet budsjett'!A64,Allidrett!AB:AB)</f>
        <v>0</v>
      </c>
      <c r="E64" s="50">
        <f>SUMIF(Bueskyting!B:B,'Samlet budsjett'!A64,Bueskyting!AB:AB)</f>
        <v>0</v>
      </c>
      <c r="F64" s="50">
        <f>SUMIF(Tennis!B:B,'Samlet budsjett'!A64,Tennis!AB:AB)</f>
        <v>0</v>
      </c>
      <c r="G64" s="50">
        <f>SUMIF(Svømming!B:B,'Samlet budsjett'!A64,Svømming!AB:AB)</f>
        <v>0</v>
      </c>
      <c r="H64" s="50">
        <f>SUMIF(Fotball!B:B,'Samlet budsjett'!A64,Fotball!AB:AB)</f>
        <v>60000</v>
      </c>
      <c r="I64" s="50">
        <f>SUMIF(Håndball!B:B,'Samlet budsjett'!A64,Håndball!AB:AB)</f>
        <v>0</v>
      </c>
      <c r="J64" s="50">
        <f>SUMIF(Futsal!B:B,'Samlet budsjett'!A:A,Futsal!AB:AB)</f>
        <v>0</v>
      </c>
      <c r="K64" s="50">
        <f>SUMIF('Tur og Friluftsliv'!B:B,'Samlet budsjett'!A64,'Tur og Friluftsliv'!AB:AB)</f>
        <v>0</v>
      </c>
      <c r="L64" s="50">
        <f>SUMIF('E-sport'!B:B,'Samlet budsjett'!A64,'E-sport'!AB:AB)</f>
        <v>0</v>
      </c>
      <c r="M64" s="50">
        <f>SUMIF(Prosjekt!B:B,'Samlet budsjett'!A64,Prosjekt!G:G)</f>
        <v>0</v>
      </c>
    </row>
    <row r="65" spans="1:13" hidden="1" outlineLevel="1" x14ac:dyDescent="0.3">
      <c r="A65" s="84" t="s">
        <v>221</v>
      </c>
      <c r="B65" s="50">
        <f t="shared" si="17"/>
        <v>20000</v>
      </c>
      <c r="C65" s="50">
        <f>SUMIF(Hovedlaget!B:B,'Samlet budsjett'!A65,Hovedlaget!AB:AB)</f>
        <v>0</v>
      </c>
      <c r="D65" s="50">
        <f>SUMIF(Allidrett!B:B,'Samlet budsjett'!A65,Allidrett!AB:AB)</f>
        <v>0</v>
      </c>
      <c r="E65" s="50">
        <f>SUMIF(Bueskyting!B:B,'Samlet budsjett'!A65,Bueskyting!AB:AB)</f>
        <v>0</v>
      </c>
      <c r="F65" s="50">
        <f>SUMIF(Tennis!B:B,'Samlet budsjett'!A65,Tennis!AB:AB)</f>
        <v>0</v>
      </c>
      <c r="G65" s="50">
        <f>SUMIF(Svømming!B:B,'Samlet budsjett'!A65,Svømming!AB:AB)</f>
        <v>0</v>
      </c>
      <c r="H65" s="50">
        <f>SUMIF(Fotball!B:B,'Samlet budsjett'!A65,Fotball!AB:AB)</f>
        <v>0</v>
      </c>
      <c r="I65" s="50">
        <f>SUMIF(Håndball!B:B,'Samlet budsjett'!A65,Håndball!AB:AB)</f>
        <v>20000</v>
      </c>
      <c r="J65" s="50">
        <f>SUMIF(Futsal!B:B,'Samlet budsjett'!A:A,Futsal!AB:AB)</f>
        <v>0</v>
      </c>
      <c r="K65" s="50">
        <f>SUMIF('Tur og Friluftsliv'!B:B,'Samlet budsjett'!A65,'Tur og Friluftsliv'!AB:AB)</f>
        <v>0</v>
      </c>
      <c r="L65" s="50">
        <f>SUMIF('E-sport'!B:B,'Samlet budsjett'!A65,'E-sport'!AB:AB)</f>
        <v>0</v>
      </c>
      <c r="M65" s="50">
        <f>SUMIF(Prosjekt!B:B,'Samlet budsjett'!A65,Prosjekt!G:G)</f>
        <v>0</v>
      </c>
    </row>
    <row r="66" spans="1:13" hidden="1" outlineLevel="1" x14ac:dyDescent="0.3">
      <c r="A66" s="84" t="s">
        <v>222</v>
      </c>
      <c r="B66" s="50">
        <f t="shared" si="17"/>
        <v>20000</v>
      </c>
      <c r="C66" s="50">
        <f>SUMIF(Hovedlaget!B:B,'Samlet budsjett'!A66,Hovedlaget!AB:AB)</f>
        <v>0</v>
      </c>
      <c r="D66" s="50">
        <f>SUMIF(Allidrett!B:B,'Samlet budsjett'!A66,Allidrett!AB:AB)</f>
        <v>0</v>
      </c>
      <c r="E66" s="50">
        <f>SUMIF(Bueskyting!B:B,'Samlet budsjett'!A66,Bueskyting!AB:AB)</f>
        <v>0</v>
      </c>
      <c r="F66" s="50">
        <f>SUMIF(Tennis!B:B,'Samlet budsjett'!A66,Tennis!AB:AB)</f>
        <v>0</v>
      </c>
      <c r="G66" s="50">
        <f>SUMIF(Svømming!B:B,'Samlet budsjett'!A66,Svømming!AB:AB)</f>
        <v>0</v>
      </c>
      <c r="H66" s="50">
        <f>SUMIF(Fotball!B:B,'Samlet budsjett'!A66,Fotball!AB:AB)</f>
        <v>0</v>
      </c>
      <c r="I66" s="50">
        <f>SUMIF(Håndball!B:B,'Samlet budsjett'!A66,Håndball!AB:AB)</f>
        <v>20000</v>
      </c>
      <c r="J66" s="50">
        <f>SUMIF(Futsal!B:B,'Samlet budsjett'!A:A,Futsal!AB:AB)</f>
        <v>0</v>
      </c>
      <c r="K66" s="50">
        <f>SUMIF('Tur og Friluftsliv'!B:B,'Samlet budsjett'!A66,'Tur og Friluftsliv'!AB:AB)</f>
        <v>0</v>
      </c>
      <c r="L66" s="50">
        <f>SUMIF('E-sport'!B:B,'Samlet budsjett'!A66,'E-sport'!AB:AB)</f>
        <v>0</v>
      </c>
      <c r="M66" s="50">
        <f>SUMIF(Prosjekt!B:B,'Samlet budsjett'!A66,Prosjekt!G:G)</f>
        <v>0</v>
      </c>
    </row>
    <row r="67" spans="1:13" hidden="1" outlineLevel="1" x14ac:dyDescent="0.3">
      <c r="A67" s="84" t="s">
        <v>224</v>
      </c>
      <c r="B67" s="50">
        <f t="shared" si="17"/>
        <v>60000</v>
      </c>
      <c r="C67" s="50">
        <f>SUMIF(Hovedlaget!B:B,'Samlet budsjett'!A67,Hovedlaget!AB:AB)</f>
        <v>0</v>
      </c>
      <c r="D67" s="50">
        <f>SUMIF(Allidrett!B:B,'Samlet budsjett'!A67,Allidrett!AB:AB)</f>
        <v>0</v>
      </c>
      <c r="E67" s="50">
        <f>SUMIF(Bueskyting!B:B,'Samlet budsjett'!A67,Bueskyting!AB:AB)</f>
        <v>0</v>
      </c>
      <c r="F67" s="50">
        <f>SUMIF(Tennis!B:B,'Samlet budsjett'!A67,Tennis!AB:AB)</f>
        <v>0</v>
      </c>
      <c r="G67" s="50">
        <f>SUMIF(Svømming!B:B,'Samlet budsjett'!A67,Svømming!AB:AB)</f>
        <v>0</v>
      </c>
      <c r="H67" s="50">
        <f>SUMIF(Fotball!B:B,'Samlet budsjett'!A67,Fotball!AB:AB)</f>
        <v>0</v>
      </c>
      <c r="I67" s="50">
        <f>SUMIF(Håndball!B:B,'Samlet budsjett'!A67,Håndball!AB:AB)</f>
        <v>60000</v>
      </c>
      <c r="J67" s="50">
        <f>SUMIF(Futsal!B:B,'Samlet budsjett'!A:A,Futsal!AB:AB)</f>
        <v>0</v>
      </c>
      <c r="K67" s="50">
        <f>SUMIF('Tur og Friluftsliv'!B:B,'Samlet budsjett'!A67,'Tur og Friluftsliv'!AB:AB)</f>
        <v>0</v>
      </c>
      <c r="L67" s="50">
        <f>SUMIF('E-sport'!B:B,'Samlet budsjett'!A67,'E-sport'!AB:AB)</f>
        <v>0</v>
      </c>
      <c r="M67" s="50">
        <f>SUMIF(Prosjekt!B:B,'Samlet budsjett'!A67,Prosjekt!G:G)</f>
        <v>0</v>
      </c>
    </row>
    <row r="68" spans="1:13" hidden="1" outlineLevel="1" collapsed="1" x14ac:dyDescent="0.3">
      <c r="A68" s="10" t="s">
        <v>52</v>
      </c>
      <c r="B68" s="50">
        <f t="shared" si="17"/>
        <v>230000</v>
      </c>
      <c r="C68" s="50">
        <f>SUMIF(Hovedlaget!B:B,'Samlet budsjett'!A68,Hovedlaget!AB:AB)</f>
        <v>155000</v>
      </c>
      <c r="D68" s="50">
        <f>SUMIF(Allidrett!B:B,'Samlet budsjett'!A68,Allidrett!AB:AB)</f>
        <v>0</v>
      </c>
      <c r="E68" s="50">
        <f>SUMIF(Bueskyting!B:B,'Samlet budsjett'!A68,Bueskyting!AB:AB)</f>
        <v>10000</v>
      </c>
      <c r="F68" s="50">
        <f>SUMIF(Tennis!B:B,'Samlet budsjett'!A68,Tennis!AB:AB)</f>
        <v>0</v>
      </c>
      <c r="G68" s="50">
        <f>SUMIF(Svømming!B:B,'Samlet budsjett'!A68,Svømming!AB:AB)</f>
        <v>53000</v>
      </c>
      <c r="H68" s="50">
        <f>SUMIF(Fotball!B:B,'Samlet budsjett'!A68,Fotball!AB:AB)</f>
        <v>0</v>
      </c>
      <c r="I68" s="50">
        <f>SUMIF(Håndball!B:B,'Samlet budsjett'!A68,Håndball!AB:AB)</f>
        <v>12000</v>
      </c>
      <c r="J68" s="50">
        <f>SUMIF(Futsal!B:B,'Samlet budsjett'!A:A,Futsal!AB:AB)</f>
        <v>0</v>
      </c>
      <c r="K68" s="50">
        <f>SUMIF('Tur og Friluftsliv'!B:B,'Samlet budsjett'!A68,'Tur og Friluftsliv'!AB:AB)</f>
        <v>0</v>
      </c>
      <c r="L68" s="50">
        <f>SUMIF('E-sport'!B:B,'Samlet budsjett'!A68,'E-sport'!AB:AB)</f>
        <v>0</v>
      </c>
      <c r="M68" s="50">
        <f>SUMIF(Prosjekt!B:B,'Samlet budsjett'!A68,Prosjekt!G:G)</f>
        <v>0</v>
      </c>
    </row>
    <row r="69" spans="1:13" hidden="1" outlineLevel="1" collapsed="1" x14ac:dyDescent="0.3">
      <c r="A69" s="10" t="s">
        <v>53</v>
      </c>
      <c r="B69" s="50">
        <f t="shared" si="17"/>
        <v>0</v>
      </c>
      <c r="C69" s="50">
        <f>SUMIF(Hovedlaget!B:B,'Samlet budsjett'!A69,Hovedlaget!AB:AB)</f>
        <v>0</v>
      </c>
      <c r="D69" s="50">
        <f>SUMIF(Allidrett!B:B,'Samlet budsjett'!A69,Allidrett!AB:AB)</f>
        <v>0</v>
      </c>
      <c r="E69" s="50">
        <f>SUMIF(Bueskyting!B:B,'Samlet budsjett'!A69,Bueskyting!AB:AB)</f>
        <v>0</v>
      </c>
      <c r="F69" s="50">
        <f>SUMIF(Tennis!B:B,'Samlet budsjett'!A69,Tennis!AB:AB)</f>
        <v>0</v>
      </c>
      <c r="G69" s="50">
        <f>SUMIF(Svømming!B:B,'Samlet budsjett'!A69,Svømming!AB:AB)</f>
        <v>0</v>
      </c>
      <c r="H69" s="50">
        <f>SUMIF(Fotball!B:B,'Samlet budsjett'!A69,Fotball!AB:AB)</f>
        <v>0</v>
      </c>
      <c r="I69" s="50">
        <f>SUMIF(Håndball!B:B,'Samlet budsjett'!A69,Håndball!AB:AB)</f>
        <v>0</v>
      </c>
      <c r="J69" s="50">
        <f>SUMIF(Futsal!B:B,'Samlet budsjett'!A:A,Futsal!AB:AB)</f>
        <v>0</v>
      </c>
      <c r="K69" s="50">
        <f>SUMIF('Tur og Friluftsliv'!B:B,'Samlet budsjett'!A69,'Tur og Friluftsliv'!AB:AB)</f>
        <v>0</v>
      </c>
      <c r="L69" s="50">
        <f>SUMIF('E-sport'!B:B,'Samlet budsjett'!A69,'E-sport'!AB:AB)</f>
        <v>0</v>
      </c>
      <c r="M69" s="50">
        <f>SUMIF(Prosjekt!B:B,'Samlet budsjett'!A69,Prosjekt!G:G)</f>
        <v>0</v>
      </c>
    </row>
    <row r="70" spans="1:13" hidden="1" outlineLevel="1" collapsed="1" x14ac:dyDescent="0.3">
      <c r="A70" s="10" t="s">
        <v>54</v>
      </c>
      <c r="B70" s="50">
        <f t="shared" si="17"/>
        <v>390000</v>
      </c>
      <c r="C70" s="50">
        <f>SUMIF(Hovedlaget!B:B,'Samlet budsjett'!A70,Hovedlaget!AB:AB)</f>
        <v>0</v>
      </c>
      <c r="D70" s="50">
        <f>SUMIF(Allidrett!B:B,'Samlet budsjett'!A70,Allidrett!AB:AB)</f>
        <v>0</v>
      </c>
      <c r="E70" s="50">
        <f>SUMIF(Bueskyting!B:B,'Samlet budsjett'!A70,Bueskyting!AB:AB)</f>
        <v>17500</v>
      </c>
      <c r="F70" s="50">
        <f>SUMIF(Tennis!B:B,'Samlet budsjett'!A70,Tennis!AB:AB)</f>
        <v>4500</v>
      </c>
      <c r="G70" s="50">
        <f>SUMIF(Svømming!B:B,'Samlet budsjett'!A70,Svømming!AB:AB)</f>
        <v>93000</v>
      </c>
      <c r="H70" s="50">
        <f>SUMIF(Fotball!B:B,'Samlet budsjett'!A70,Fotball!AB:AB)</f>
        <v>175000</v>
      </c>
      <c r="I70" s="50">
        <f>SUMIF(Håndball!B:B,'Samlet budsjett'!A70,Håndball!AB:AB)</f>
        <v>90000</v>
      </c>
      <c r="J70" s="50">
        <f>SUMIF(Futsal!B:B,'Samlet budsjett'!A:A,Futsal!AB:AB)</f>
        <v>4000</v>
      </c>
      <c r="K70" s="50">
        <f>SUMIF('Tur og Friluftsliv'!B:B,'Samlet budsjett'!A70,'Tur og Friluftsliv'!AB:AB)</f>
        <v>6000</v>
      </c>
      <c r="L70" s="50">
        <f>SUMIF('E-sport'!B:B,'Samlet budsjett'!A70,'E-sport'!AB:AB)</f>
        <v>0</v>
      </c>
      <c r="M70" s="50">
        <f>SUMIF(Prosjekt!B:B,'Samlet budsjett'!A70,Prosjekt!G:G)</f>
        <v>0</v>
      </c>
    </row>
    <row r="71" spans="1:13" hidden="1" outlineLevel="1" x14ac:dyDescent="0.3">
      <c r="A71" s="10" t="s">
        <v>196</v>
      </c>
      <c r="B71" s="50">
        <f t="shared" si="17"/>
        <v>8000</v>
      </c>
      <c r="C71" s="50">
        <f>SUMIF(Hovedlaget!B:B,'Samlet budsjett'!A71,Hovedlaget!AB:AB)</f>
        <v>0</v>
      </c>
      <c r="D71" s="50">
        <f>SUMIF(Allidrett!B:B,'Samlet budsjett'!A71,Allidrett!AB:AB)</f>
        <v>0</v>
      </c>
      <c r="E71" s="50">
        <f>SUMIF(Bueskyting!B:B,'Samlet budsjett'!A71,Bueskyting!AB:AB)</f>
        <v>0</v>
      </c>
      <c r="F71" s="50">
        <f>SUMIF(Tennis!B:B,'Samlet budsjett'!A71,Tennis!AB:AB)</f>
        <v>0</v>
      </c>
      <c r="G71" s="50">
        <f>SUMIF(Svømming!B:B,'Samlet budsjett'!A71,Svømming!AB:AB)</f>
        <v>0</v>
      </c>
      <c r="H71" s="50">
        <f>SUMIF(Fotball!B:B,'Samlet budsjett'!A71,Fotball!AB:AB)</f>
        <v>5000</v>
      </c>
      <c r="I71" s="50">
        <f>SUMIF(Håndball!B:B,'Samlet budsjett'!A71,Håndball!AB:AB)</f>
        <v>3000</v>
      </c>
      <c r="J71" s="50">
        <f>SUMIF(Futsal!B:B,'Samlet budsjett'!A:A,Futsal!AB:AB)</f>
        <v>0</v>
      </c>
      <c r="K71" s="50">
        <f>SUMIF('Tur og Friluftsliv'!B:B,'Samlet budsjett'!A71,'Tur og Friluftsliv'!AB:AB)</f>
        <v>0</v>
      </c>
      <c r="L71" s="50">
        <f>SUMIF('E-sport'!B:B,'Samlet budsjett'!A71,'E-sport'!AB:AB)</f>
        <v>0</v>
      </c>
      <c r="M71" s="50">
        <f>SUMIF(Prosjekt!B:B,'Samlet budsjett'!A71,Prosjekt!G:G)</f>
        <v>0</v>
      </c>
    </row>
    <row r="72" spans="1:13" hidden="1" outlineLevel="1" x14ac:dyDescent="0.3">
      <c r="A72" s="38" t="s">
        <v>178</v>
      </c>
      <c r="B72" s="50">
        <f t="shared" si="17"/>
        <v>62000</v>
      </c>
      <c r="C72" s="50">
        <f>SUMIF(Hovedlaget!B:B,'Samlet budsjett'!A72,Hovedlaget!AB:AB)</f>
        <v>0</v>
      </c>
      <c r="D72" s="50">
        <f>SUMIF(Allidrett!B:B,'Samlet budsjett'!A72,Allidrett!AB:AB)</f>
        <v>0</v>
      </c>
      <c r="E72" s="50">
        <f>SUMIF(Bueskyting!B:B,'Samlet budsjett'!A72,Bueskyting!AB:AB)</f>
        <v>0</v>
      </c>
      <c r="F72" s="50">
        <f>SUMIF(Tennis!B:B,'Samlet budsjett'!A72,Tennis!AB:AB)</f>
        <v>0</v>
      </c>
      <c r="G72" s="50">
        <f>SUMIF(Svømming!B:B,'Samlet budsjett'!A72,Svømming!AB:AB)</f>
        <v>50000</v>
      </c>
      <c r="H72" s="50">
        <f>SUMIF(Fotball!B:B,'Samlet budsjett'!A72,Fotball!AB:AB)</f>
        <v>0</v>
      </c>
      <c r="I72" s="50">
        <f>SUMIF(Håndball!B:B,'Samlet budsjett'!A72,Håndball!AB:AB)</f>
        <v>12000</v>
      </c>
      <c r="J72" s="50">
        <f>SUMIF(Futsal!B:B,'Samlet budsjett'!A:A,Futsal!AB:AB)</f>
        <v>0</v>
      </c>
      <c r="K72" s="50">
        <f>SUMIF('Tur og Friluftsliv'!B:B,'Samlet budsjett'!A72,'Tur og Friluftsliv'!AB:AB)</f>
        <v>0</v>
      </c>
      <c r="L72" s="50">
        <f>SUMIF('E-sport'!B:B,'Samlet budsjett'!A72,'E-sport'!AB:AB)</f>
        <v>0</v>
      </c>
      <c r="M72" s="50">
        <f>SUMIF(Prosjekt!B:B,'Samlet budsjett'!A72,Prosjekt!G:G)</f>
        <v>0</v>
      </c>
    </row>
    <row r="73" spans="1:13" hidden="1" outlineLevel="1" x14ac:dyDescent="0.3">
      <c r="A73" s="38" t="s">
        <v>163</v>
      </c>
      <c r="B73" s="50">
        <f t="shared" si="17"/>
        <v>1078750</v>
      </c>
      <c r="C73" s="50">
        <f>SUMIF(Hovedlaget!B:B,'Samlet budsjett'!A73,Hovedlaget!AB:AB)</f>
        <v>0</v>
      </c>
      <c r="D73" s="50">
        <f>SUMIF(Allidrett!B:B,'Samlet budsjett'!A73,Allidrett!AB:AB)</f>
        <v>0</v>
      </c>
      <c r="E73" s="50">
        <f>SUMIF(Bueskyting!B:B,'Samlet budsjett'!A73,Bueskyting!AB:AB)</f>
        <v>700500</v>
      </c>
      <c r="F73" s="50">
        <f>SUMIF(Tennis!B:B,'Samlet budsjett'!A73,Tennis!AB:AB)</f>
        <v>7250</v>
      </c>
      <c r="G73" s="50">
        <f>SUMIF(Svømming!B:B,'Samlet budsjett'!A73,Svømming!AB:AB)</f>
        <v>5000</v>
      </c>
      <c r="H73" s="50">
        <f>SUMIF(Fotball!B:B,'Samlet budsjett'!A73,Fotball!AB:AB)</f>
        <v>40000</v>
      </c>
      <c r="I73" s="50">
        <f>SUMIF(Håndball!B:B,'Samlet budsjett'!A73,Håndball!AB:AB)</f>
        <v>320000</v>
      </c>
      <c r="J73" s="50">
        <f>SUMIF(Futsal!B:B,'Samlet budsjett'!A:A,Futsal!AB:AB)</f>
        <v>0</v>
      </c>
      <c r="K73" s="50">
        <f>SUMIF('Tur og Friluftsliv'!B:B,'Samlet budsjett'!A73,'Tur og Friluftsliv'!AB:AB)</f>
        <v>0</v>
      </c>
      <c r="L73" s="50">
        <f>SUMIF('E-sport'!B:B,'Samlet budsjett'!A73,'E-sport'!AB:AB)</f>
        <v>6000</v>
      </c>
      <c r="M73" s="50">
        <f>SUMIF(Prosjekt!B:B,'Samlet budsjett'!A73,Prosjekt!G:G)</f>
        <v>0</v>
      </c>
    </row>
    <row r="74" spans="1:13" hidden="1" outlineLevel="1" x14ac:dyDescent="0.3">
      <c r="A74" s="10" t="s">
        <v>164</v>
      </c>
      <c r="B74" s="50">
        <f t="shared" si="17"/>
        <v>229500</v>
      </c>
      <c r="C74" s="50">
        <f>SUMIF(Hovedlaget!B:B,'Samlet budsjett'!A74,Hovedlaget!AB:AB)</f>
        <v>0</v>
      </c>
      <c r="D74" s="50">
        <f>SUMIF(Allidrett!B:B,'Samlet budsjett'!A74,Allidrett!AB:AB)</f>
        <v>2000</v>
      </c>
      <c r="E74" s="50">
        <f>SUMIF(Bueskyting!B:B,'Samlet budsjett'!A74,Bueskyting!AB:AB)</f>
        <v>3500</v>
      </c>
      <c r="F74" s="50">
        <f>SUMIF(Tennis!B:B,'Samlet budsjett'!A74,Tennis!AB:AB)</f>
        <v>28000</v>
      </c>
      <c r="G74" s="50">
        <f>SUMIF(Svømming!B:B,'Samlet budsjett'!A74,Svømming!AB:AB)</f>
        <v>8000</v>
      </c>
      <c r="H74" s="50">
        <f>SUMIF(Fotball!B:B,'Samlet budsjett'!A74,Fotball!AB:AB)</f>
        <v>125000</v>
      </c>
      <c r="I74" s="50">
        <f>SUMIF(Håndball!B:B,'Samlet budsjett'!A74,Håndball!AB:AB)</f>
        <v>50000</v>
      </c>
      <c r="J74" s="50">
        <f>SUMIF(Futsal!B:B,'Samlet budsjett'!A:A,Futsal!AB:AB)</f>
        <v>13000</v>
      </c>
      <c r="K74" s="50">
        <f>SUMIF('Tur og Friluftsliv'!B:B,'Samlet budsjett'!A74,'Tur og Friluftsliv'!AB:AB)</f>
        <v>0</v>
      </c>
      <c r="L74" s="50">
        <f>SUMIF('E-sport'!B:B,'Samlet budsjett'!A74,'E-sport'!AB:AB)</f>
        <v>0</v>
      </c>
      <c r="M74" s="50">
        <f>SUMIF(Prosjekt!B:B,'Samlet budsjett'!A74,Prosjekt!G:G)</f>
        <v>0</v>
      </c>
    </row>
    <row r="75" spans="1:13" hidden="1" outlineLevel="1" x14ac:dyDescent="0.3">
      <c r="A75" s="10" t="s">
        <v>197</v>
      </c>
      <c r="B75" s="50">
        <f t="shared" si="17"/>
        <v>10000</v>
      </c>
      <c r="C75" s="50">
        <f>SUMIF(Hovedlaget!B:B,'Samlet budsjett'!A75,Hovedlaget!AB:AB)</f>
        <v>0</v>
      </c>
      <c r="D75" s="50">
        <f>SUMIF(Allidrett!B:B,'Samlet budsjett'!A75,Allidrett!AB:AB)</f>
        <v>0</v>
      </c>
      <c r="E75" s="50">
        <f>SUMIF(Bueskyting!B:B,'Samlet budsjett'!A75,Bueskyting!AB:AB)</f>
        <v>0</v>
      </c>
      <c r="F75" s="50">
        <f>SUMIF(Tennis!B:B,'Samlet budsjett'!A75,Tennis!AB:AB)</f>
        <v>0</v>
      </c>
      <c r="G75" s="50">
        <f>SUMIF(Svømming!B:B,'Samlet budsjett'!A75,Svømming!AB:AB)</f>
        <v>0</v>
      </c>
      <c r="H75" s="50">
        <f>SUMIF(Fotball!B:B,'Samlet budsjett'!A75,Fotball!AB:AB)</f>
        <v>10000</v>
      </c>
      <c r="I75" s="50">
        <f>SUMIF(Håndball!B:B,'Samlet budsjett'!A75,Håndball!AB:AB)</f>
        <v>0</v>
      </c>
      <c r="J75" s="50">
        <f>SUMIF(Futsal!B:B,'Samlet budsjett'!A:A,Futsal!AB:AB)</f>
        <v>0</v>
      </c>
      <c r="K75" s="50">
        <f>SUMIF('Tur og Friluftsliv'!B:B,'Samlet budsjett'!A75,'Tur og Friluftsliv'!AB:AB)</f>
        <v>0</v>
      </c>
      <c r="L75" s="50">
        <f>SUMIF('E-sport'!B:B,'Samlet budsjett'!A75,'E-sport'!AB:AB)</f>
        <v>0</v>
      </c>
      <c r="M75" s="50">
        <f>SUMIF(Prosjekt!B:B,'Samlet budsjett'!A75,Prosjekt!G:G)</f>
        <v>0</v>
      </c>
    </row>
    <row r="76" spans="1:13" hidden="1" outlineLevel="1" collapsed="1" x14ac:dyDescent="0.3">
      <c r="A76" s="10" t="s">
        <v>55</v>
      </c>
      <c r="B76" s="50">
        <f t="shared" si="17"/>
        <v>188000</v>
      </c>
      <c r="C76" s="50">
        <f>SUMIF(Hovedlaget!B:B,'Samlet budsjett'!A76,Hovedlaget!AB:AB)</f>
        <v>0</v>
      </c>
      <c r="D76" s="50">
        <f>SUMIF(Allidrett!B:B,'Samlet budsjett'!A76,Allidrett!AB:AB)</f>
        <v>0</v>
      </c>
      <c r="E76" s="50">
        <f>SUMIF(Bueskyting!B:B,'Samlet budsjett'!A76,Bueskyting!AB:AB)</f>
        <v>0</v>
      </c>
      <c r="F76" s="50">
        <f>SUMIF(Tennis!B:B,'Samlet budsjett'!A76,Tennis!AB:AB)</f>
        <v>0</v>
      </c>
      <c r="G76" s="50">
        <f>SUMIF(Svømming!B:B,'Samlet budsjett'!A76,Svømming!AB:AB)</f>
        <v>0</v>
      </c>
      <c r="H76" s="50">
        <f>SUMIF(Fotball!B:B,'Samlet budsjett'!A76,Fotball!AB:AB)</f>
        <v>140000</v>
      </c>
      <c r="I76" s="50">
        <f>SUMIF(Håndball!B:B,'Samlet budsjett'!A76,Håndball!AB:AB)</f>
        <v>48000</v>
      </c>
      <c r="J76" s="50">
        <f>SUMIF(Futsal!B:B,'Samlet budsjett'!A:A,Futsal!AB:AB)</f>
        <v>0</v>
      </c>
      <c r="K76" s="50">
        <f>SUMIF('Tur og Friluftsliv'!B:B,'Samlet budsjett'!A76,'Tur og Friluftsliv'!AB:AB)</f>
        <v>0</v>
      </c>
      <c r="L76" s="50">
        <f>SUMIF('E-sport'!B:B,'Samlet budsjett'!A76,'E-sport'!AB:AB)</f>
        <v>0</v>
      </c>
      <c r="M76" s="50">
        <f>SUMIF(Prosjekt!B:B,'Samlet budsjett'!A76,Prosjekt!G:G)</f>
        <v>0</v>
      </c>
    </row>
    <row r="77" spans="1:13" hidden="1" outlineLevel="1" collapsed="1" x14ac:dyDescent="0.3">
      <c r="A77" s="10" t="s">
        <v>56</v>
      </c>
      <c r="B77" s="50">
        <f t="shared" si="17"/>
        <v>140000</v>
      </c>
      <c r="C77" s="50">
        <f>SUMIF(Hovedlaget!B:B,'Samlet budsjett'!A77,Hovedlaget!AB:AB)</f>
        <v>140000</v>
      </c>
      <c r="D77" s="50">
        <f>SUMIF(Allidrett!B:B,'Samlet budsjett'!A77,Allidrett!AB:AB)</f>
        <v>0</v>
      </c>
      <c r="E77" s="50">
        <f>SUMIF(Bueskyting!B:B,'Samlet budsjett'!A77,Bueskyting!AB:AB)</f>
        <v>0</v>
      </c>
      <c r="F77" s="50">
        <f>SUMIF(Tennis!B:B,'Samlet budsjett'!A77,Tennis!AB:AB)</f>
        <v>0</v>
      </c>
      <c r="G77" s="50">
        <f>SUMIF(Svømming!B:B,'Samlet budsjett'!A77,Svømming!AB:AB)</f>
        <v>0</v>
      </c>
      <c r="H77" s="50">
        <f>SUMIF(Fotball!B:B,'Samlet budsjett'!A77,Fotball!AB:AB)</f>
        <v>0</v>
      </c>
      <c r="I77" s="50">
        <f>SUMIF(Håndball!B:B,'Samlet budsjett'!A77,Håndball!AB:AB)</f>
        <v>0</v>
      </c>
      <c r="J77" s="50">
        <f>SUMIF(Futsal!B:B,'Samlet budsjett'!A:A,Futsal!AB:AB)</f>
        <v>0</v>
      </c>
      <c r="K77" s="50">
        <f>SUMIF('Tur og Friluftsliv'!B:B,'Samlet budsjett'!A77,'Tur og Friluftsliv'!AB:AB)</f>
        <v>0</v>
      </c>
      <c r="L77" s="50">
        <f>SUMIF('E-sport'!B:B,'Samlet budsjett'!A77,'E-sport'!AB:AB)</f>
        <v>0</v>
      </c>
      <c r="M77" s="50">
        <f>SUMIF(Prosjekt!B:B,'Samlet budsjett'!A77,Prosjekt!G:G)</f>
        <v>0</v>
      </c>
    </row>
    <row r="78" spans="1:13" hidden="1" outlineLevel="1" collapsed="1" x14ac:dyDescent="0.3">
      <c r="A78" s="10" t="s">
        <v>57</v>
      </c>
      <c r="B78" s="50">
        <f t="shared" si="17"/>
        <v>280000</v>
      </c>
      <c r="C78" s="50">
        <f>SUMIF(Hovedlaget!B:B,'Samlet budsjett'!A78,Hovedlaget!AB:AB)</f>
        <v>280000</v>
      </c>
      <c r="D78" s="50">
        <f>SUMIF(Allidrett!B:B,'Samlet budsjett'!A78,Allidrett!AB:AB)</f>
        <v>0</v>
      </c>
      <c r="E78" s="50">
        <f>SUMIF(Bueskyting!B:B,'Samlet budsjett'!A78,Bueskyting!AB:AB)</f>
        <v>0</v>
      </c>
      <c r="F78" s="50">
        <f>SUMIF(Tennis!B:B,'Samlet budsjett'!A78,Tennis!AB:AB)</f>
        <v>0</v>
      </c>
      <c r="G78" s="50">
        <f>SUMIF(Svømming!B:B,'Samlet budsjett'!A78,Svømming!AB:AB)</f>
        <v>0</v>
      </c>
      <c r="H78" s="50">
        <f>SUMIF(Fotball!B:B,'Samlet budsjett'!A78,Fotball!AB:AB)</f>
        <v>0</v>
      </c>
      <c r="I78" s="50">
        <f>SUMIF(Håndball!B:B,'Samlet budsjett'!A78,Håndball!AB:AB)</f>
        <v>0</v>
      </c>
      <c r="J78" s="50">
        <f>SUMIF(Futsal!B:B,'Samlet budsjett'!A:A,Futsal!AB:AB)</f>
        <v>0</v>
      </c>
      <c r="K78" s="50">
        <f>SUMIF('Tur og Friluftsliv'!B:B,'Samlet budsjett'!A78,'Tur og Friluftsliv'!AB:AB)</f>
        <v>0</v>
      </c>
      <c r="L78" s="50">
        <f>SUMIF('E-sport'!B:B,'Samlet budsjett'!A78,'E-sport'!AB:AB)</f>
        <v>0</v>
      </c>
      <c r="M78" s="50">
        <f>SUMIF(Prosjekt!B:B,'Samlet budsjett'!A78,Prosjekt!G:G)</f>
        <v>0</v>
      </c>
    </row>
    <row r="79" spans="1:13" hidden="1" outlineLevel="1" x14ac:dyDescent="0.3">
      <c r="A79" s="38" t="s">
        <v>179</v>
      </c>
      <c r="B79" s="50">
        <f t="shared" si="17"/>
        <v>38000</v>
      </c>
      <c r="C79" s="50">
        <f>SUMIF(Hovedlaget!B:B,'Samlet budsjett'!A79,Hovedlaget!AB:AB)</f>
        <v>0</v>
      </c>
      <c r="D79" s="50">
        <f>SUMIF(Allidrett!B:B,'Samlet budsjett'!A79,Allidrett!AB:AB)</f>
        <v>0</v>
      </c>
      <c r="E79" s="50">
        <f>SUMIF(Bueskyting!B:B,'Samlet budsjett'!A79,Bueskyting!AB:AB)</f>
        <v>0</v>
      </c>
      <c r="F79" s="50">
        <f>SUMIF(Tennis!B:B,'Samlet budsjett'!A79,Tennis!AB:AB)</f>
        <v>0</v>
      </c>
      <c r="G79" s="50">
        <f>SUMIF(Svømming!B:B,'Samlet budsjett'!A79,Svømming!AB:AB)</f>
        <v>38000</v>
      </c>
      <c r="H79" s="50">
        <f>SUMIF(Fotball!B:B,'Samlet budsjett'!A79,Fotball!AB:AB)</f>
        <v>0</v>
      </c>
      <c r="I79" s="50">
        <f>SUMIF(Håndball!B:B,'Samlet budsjett'!A79,Håndball!AB:AB)</f>
        <v>0</v>
      </c>
      <c r="J79" s="50">
        <f>SUMIF(Futsal!B:B,'Samlet budsjett'!A:A,Futsal!AB:AB)</f>
        <v>0</v>
      </c>
      <c r="K79" s="50">
        <f>SUMIF('Tur og Friluftsliv'!B:B,'Samlet budsjett'!A79,'Tur og Friluftsliv'!AB:AB)</f>
        <v>0</v>
      </c>
      <c r="L79" s="50">
        <f>SUMIF('E-sport'!B:B,'Samlet budsjett'!A79,'E-sport'!AB:AB)</f>
        <v>0</v>
      </c>
      <c r="M79" s="50">
        <f>SUMIF(Prosjekt!B:B,'Samlet budsjett'!A79,Prosjekt!G:G)</f>
        <v>0</v>
      </c>
    </row>
    <row r="80" spans="1:13" collapsed="1" x14ac:dyDescent="0.3">
      <c r="A80" s="8" t="s">
        <v>11</v>
      </c>
      <c r="B80" s="49">
        <f t="shared" si="17"/>
        <v>3886505.2917526402</v>
      </c>
      <c r="C80" s="49">
        <f>SUM(C81:C100)</f>
        <v>1403678.9917526399</v>
      </c>
      <c r="D80" s="49">
        <f t="shared" ref="D80" si="21">SUM(D81:D100)</f>
        <v>612</v>
      </c>
      <c r="E80" s="49">
        <f>SUM(E81:E100)</f>
        <v>37324</v>
      </c>
      <c r="F80" s="49">
        <f>SUM(F81:F100)</f>
        <v>84272</v>
      </c>
      <c r="G80" s="49">
        <f>SUM(G81:G100)</f>
        <v>561324</v>
      </c>
      <c r="H80" s="49">
        <f t="shared" ref="H80" si="22">SUM(H81:H100)</f>
        <v>1468482.3</v>
      </c>
      <c r="I80" s="49">
        <f t="shared" ref="I80" si="23">SUM(I81:I100)</f>
        <v>263444</v>
      </c>
      <c r="J80" s="49">
        <f>SUM(J81:J100)</f>
        <v>12940</v>
      </c>
      <c r="K80" s="49">
        <f t="shared" ref="K80:M80" si="24">SUM(K81:K100)</f>
        <v>6400</v>
      </c>
      <c r="L80" s="49">
        <f t="shared" si="24"/>
        <v>48028</v>
      </c>
      <c r="M80" s="49">
        <f t="shared" si="24"/>
        <v>0</v>
      </c>
    </row>
    <row r="81" spans="1:13" hidden="1" outlineLevel="1" x14ac:dyDescent="0.3">
      <c r="A81" s="10" t="s">
        <v>58</v>
      </c>
      <c r="B81" s="50">
        <f t="shared" si="17"/>
        <v>1806327.52</v>
      </c>
      <c r="C81" s="50">
        <f>SUMIF(Hovedlaget!B:B,'Samlet budsjett'!A81,Hovedlaget!AB:AB)</f>
        <v>989327.5199999999</v>
      </c>
      <c r="D81" s="50">
        <f>SUMIF(Allidrett!B:B,'Samlet budsjett'!A81,Allidrett!AB:AB)</f>
        <v>0</v>
      </c>
      <c r="E81" s="50">
        <f>SUMIF(Bueskyting!B:B,'Samlet budsjett'!A81,Bueskyting!AB:AB)</f>
        <v>0</v>
      </c>
      <c r="F81" s="50">
        <f>SUMIF(Tennis!B:B,'Samlet budsjett'!A81,Tennis!AB:AB)</f>
        <v>0</v>
      </c>
      <c r="G81" s="50">
        <f>SUMIF(Svømming!B:B,'Samlet budsjett'!A81,Svømming!AB:AB)</f>
        <v>167000</v>
      </c>
      <c r="H81" s="50">
        <f>SUMIF(Fotball!B:B,'Samlet budsjett'!A81,Fotball!AB:AB)</f>
        <v>650000</v>
      </c>
      <c r="I81" s="50">
        <f>SUMIF(Håndball!B:B,'Samlet budsjett'!A81,Håndball!AB:AB)</f>
        <v>0</v>
      </c>
      <c r="J81" s="50">
        <f>SUMIF(Futsal!B:B,'Samlet budsjett'!A:A,Futsal!AB:AB)</f>
        <v>0</v>
      </c>
      <c r="K81" s="50">
        <f>SUMIF('Tur og Friluftsliv'!B:B,'Samlet budsjett'!A81,'Tur og Friluftsliv'!AB:AB)</f>
        <v>0</v>
      </c>
      <c r="L81" s="50">
        <f>SUMIF('E-sport'!B:B,'Samlet budsjett'!A81,'E-sport'!AB:AB)</f>
        <v>0</v>
      </c>
      <c r="M81" s="50">
        <f>SUMIF(Prosjekt!B:B,'Samlet budsjett'!A81,Prosjekt!G:G)</f>
        <v>0</v>
      </c>
    </row>
    <row r="82" spans="1:13" hidden="1" outlineLevel="1" collapsed="1" x14ac:dyDescent="0.3">
      <c r="A82" s="10" t="s">
        <v>59</v>
      </c>
      <c r="B82" s="50">
        <f t="shared" si="17"/>
        <v>0</v>
      </c>
      <c r="C82" s="50">
        <f>SUMIF(Hovedlaget!B:B,'Samlet budsjett'!A82,Hovedlaget!AB:AB)</f>
        <v>0</v>
      </c>
      <c r="D82" s="50">
        <f>SUMIF(Allidrett!B:B,'Samlet budsjett'!A82,Allidrett!AB:AB)</f>
        <v>0</v>
      </c>
      <c r="E82" s="50">
        <f>SUMIF(Bueskyting!B:B,'Samlet budsjett'!A82,Bueskyting!AB:AB)</f>
        <v>0</v>
      </c>
      <c r="F82" s="50">
        <f>SUMIF(Tennis!B:B,'Samlet budsjett'!A82,Tennis!AB:AB)</f>
        <v>0</v>
      </c>
      <c r="G82" s="50">
        <f>SUMIF(Svømming!B:B,'Samlet budsjett'!A82,Svømming!AB:AB)</f>
        <v>0</v>
      </c>
      <c r="H82" s="50">
        <f>SUMIF(Fotball!B:B,'Samlet budsjett'!A82,Fotball!AB:AB)</f>
        <v>0</v>
      </c>
      <c r="I82" s="50">
        <f>SUMIF(Håndball!B:B,'Samlet budsjett'!A82,Håndball!AB:AB)</f>
        <v>0</v>
      </c>
      <c r="J82" s="50">
        <f>SUMIF(Futsal!B:B,'Samlet budsjett'!A:A,Futsal!AB:AB)</f>
        <v>0</v>
      </c>
      <c r="K82" s="50">
        <f>SUMIF('Tur og Friluftsliv'!B:B,'Samlet budsjett'!A82,'Tur og Friluftsliv'!AB:AB)</f>
        <v>0</v>
      </c>
      <c r="L82" s="50">
        <f>SUMIF('E-sport'!B:B,'Samlet budsjett'!A82,'E-sport'!AB:AB)</f>
        <v>0</v>
      </c>
      <c r="M82" s="50">
        <f>SUMIF(Prosjekt!B:B,'Samlet budsjett'!A82,Prosjekt!G:G)</f>
        <v>0</v>
      </c>
    </row>
    <row r="83" spans="1:13" hidden="1" outlineLevel="1" collapsed="1" x14ac:dyDescent="0.3">
      <c r="A83" s="10" t="s">
        <v>60</v>
      </c>
      <c r="B83" s="50">
        <f t="shared" si="17"/>
        <v>177211.40703999999</v>
      </c>
      <c r="C83" s="50">
        <f>SUMIF(Hovedlaget!B:B,'Samlet budsjett'!A83,Hovedlaget!AB:AB)</f>
        <v>100911.40704000001</v>
      </c>
      <c r="D83" s="50">
        <f>SUMIF(Allidrett!B:B,'Samlet budsjett'!A83,Allidrett!AB:AB)</f>
        <v>0</v>
      </c>
      <c r="E83" s="50">
        <f>SUMIF(Bueskyting!B:B,'Samlet budsjett'!A83,Bueskyting!AB:AB)</f>
        <v>0</v>
      </c>
      <c r="F83" s="50">
        <f>SUMIF(Tennis!B:B,'Samlet budsjett'!A83,Tennis!AB:AB)</f>
        <v>0</v>
      </c>
      <c r="G83" s="50">
        <f>SUMIF(Svømming!B:B,'Samlet budsjett'!A83,Svømming!AB:AB)</f>
        <v>10000</v>
      </c>
      <c r="H83" s="50">
        <f>SUMIF(Fotball!B:B,'Samlet budsjett'!A83,Fotball!AB:AB)</f>
        <v>66299.999999999985</v>
      </c>
      <c r="I83" s="50">
        <f>SUMIF(Håndball!B:B,'Samlet budsjett'!A83,Håndball!AB:AB)</f>
        <v>0</v>
      </c>
      <c r="J83" s="50">
        <f>SUMIF(Futsal!B:B,'Samlet budsjett'!A:A,Futsal!AB:AB)</f>
        <v>0</v>
      </c>
      <c r="K83" s="50">
        <f>SUMIF('Tur og Friluftsliv'!B:B,'Samlet budsjett'!A83,'Tur og Friluftsliv'!AB:AB)</f>
        <v>0</v>
      </c>
      <c r="L83" s="50">
        <f>SUMIF('E-sport'!B:B,'Samlet budsjett'!A83,'E-sport'!AB:AB)</f>
        <v>0</v>
      </c>
      <c r="M83" s="50">
        <f>SUMIF(Prosjekt!B:B,'Samlet budsjett'!A83,Prosjekt!G:G)</f>
        <v>0</v>
      </c>
    </row>
    <row r="84" spans="1:13" hidden="1" outlineLevel="1" collapsed="1" x14ac:dyDescent="0.3">
      <c r="A84" s="10" t="s">
        <v>61</v>
      </c>
      <c r="B84" s="50">
        <f t="shared" si="17"/>
        <v>7000</v>
      </c>
      <c r="C84" s="50">
        <f>SUMIF(Hovedlaget!B:B,'Samlet budsjett'!A84,Hovedlaget!AB:AB)</f>
        <v>0</v>
      </c>
      <c r="D84" s="50">
        <f>SUMIF(Allidrett!B:B,'Samlet budsjett'!A84,Allidrett!AB:AB)</f>
        <v>0</v>
      </c>
      <c r="E84" s="50">
        <f>SUMIF(Bueskyting!B:B,'Samlet budsjett'!A84,Bueskyting!AB:AB)</f>
        <v>0</v>
      </c>
      <c r="F84" s="50">
        <f>SUMIF(Tennis!B:B,'Samlet budsjett'!A84,Tennis!AB:AB)</f>
        <v>0</v>
      </c>
      <c r="G84" s="50">
        <f>SUMIF(Svømming!B:B,'Samlet budsjett'!A84,Svømming!AB:AB)</f>
        <v>7000</v>
      </c>
      <c r="H84" s="50">
        <f>SUMIF(Fotball!B:B,'Samlet budsjett'!A84,Fotball!AB:AB)</f>
        <v>0</v>
      </c>
      <c r="I84" s="50">
        <f>SUMIF(Håndball!B:B,'Samlet budsjett'!A84,Håndball!AB:AB)</f>
        <v>0</v>
      </c>
      <c r="J84" s="50">
        <f>SUMIF(Futsal!B:B,'Samlet budsjett'!A:A,Futsal!AB:AB)</f>
        <v>0</v>
      </c>
      <c r="K84" s="50">
        <f>SUMIF('Tur og Friluftsliv'!B:B,'Samlet budsjett'!A84,'Tur og Friluftsliv'!AB:AB)</f>
        <v>0</v>
      </c>
      <c r="L84" s="50">
        <f>SUMIF('E-sport'!B:B,'Samlet budsjett'!A84,'E-sport'!AB:AB)</f>
        <v>0</v>
      </c>
      <c r="M84" s="50">
        <f>SUMIF(Prosjekt!B:B,'Samlet budsjett'!A84,Prosjekt!G:G)</f>
        <v>0</v>
      </c>
    </row>
    <row r="85" spans="1:13" hidden="1" outlineLevel="1" collapsed="1" x14ac:dyDescent="0.3">
      <c r="A85" s="10" t="s">
        <v>62</v>
      </c>
      <c r="B85" s="50">
        <f t="shared" ref="B85:B116" si="25">SUM(C85:M85)</f>
        <v>8784</v>
      </c>
      <c r="C85" s="50">
        <f>SUMIF(Hovedlaget!B:B,'Samlet budsjett'!A85,Hovedlaget!AB:AB)</f>
        <v>8784</v>
      </c>
      <c r="D85" s="50">
        <f>SUMIF(Allidrett!B:B,'Samlet budsjett'!A85,Allidrett!AB:AB)</f>
        <v>0</v>
      </c>
      <c r="E85" s="50">
        <f>SUMIF(Bueskyting!B:B,'Samlet budsjett'!A85,Bueskyting!AB:AB)</f>
        <v>0</v>
      </c>
      <c r="F85" s="50">
        <f>SUMIF(Tennis!B:B,'Samlet budsjett'!A85,Tennis!AB:AB)</f>
        <v>0</v>
      </c>
      <c r="G85" s="50">
        <f>SUMIF(Svømming!B:B,'Samlet budsjett'!A85,Svømming!AB:AB)</f>
        <v>0</v>
      </c>
      <c r="H85" s="50">
        <f>SUMIF(Fotball!B:B,'Samlet budsjett'!A85,Fotball!AB:AB)</f>
        <v>0</v>
      </c>
      <c r="I85" s="50">
        <f>SUMIF(Håndball!B:B,'Samlet budsjett'!A85,Håndball!AB:AB)</f>
        <v>0</v>
      </c>
      <c r="J85" s="50">
        <f>SUMIF(Futsal!B:B,'Samlet budsjett'!A:A,Futsal!AB:AB)</f>
        <v>0</v>
      </c>
      <c r="K85" s="50">
        <f>SUMIF('Tur og Friluftsliv'!B:B,'Samlet budsjett'!A85,'Tur og Friluftsliv'!AB:AB)</f>
        <v>0</v>
      </c>
      <c r="L85" s="50">
        <f>SUMIF('E-sport'!B:B,'Samlet budsjett'!A85,'E-sport'!AB:AB)</f>
        <v>0</v>
      </c>
      <c r="M85" s="50">
        <f>SUMIF(Prosjekt!B:B,'Samlet budsjett'!A85,Prosjekt!G:G)</f>
        <v>0</v>
      </c>
    </row>
    <row r="86" spans="1:13" hidden="1" outlineLevel="1" collapsed="1" x14ac:dyDescent="0.3">
      <c r="A86" s="10" t="s">
        <v>63</v>
      </c>
      <c r="B86" s="50">
        <f t="shared" si="25"/>
        <v>8000</v>
      </c>
      <c r="C86" s="50">
        <f>SUMIF(Hovedlaget!B:B,'Samlet budsjett'!A86,Hovedlaget!AB:AB)</f>
        <v>8000</v>
      </c>
      <c r="D86" s="50">
        <f>SUMIF(Allidrett!B:B,'Samlet budsjett'!A86,Allidrett!AB:AB)</f>
        <v>0</v>
      </c>
      <c r="E86" s="50">
        <f>SUMIF(Bueskyting!B:B,'Samlet budsjett'!A86,Bueskyting!AB:AB)</f>
        <v>0</v>
      </c>
      <c r="F86" s="50">
        <f>SUMIF(Tennis!B:B,'Samlet budsjett'!A86,Tennis!AB:AB)</f>
        <v>0</v>
      </c>
      <c r="G86" s="50">
        <f>SUMIF(Svømming!B:B,'Samlet budsjett'!A86,Svømming!AB:AB)</f>
        <v>0</v>
      </c>
      <c r="H86" s="50">
        <f>SUMIF(Fotball!B:B,'Samlet budsjett'!A86,Fotball!AB:AB)</f>
        <v>0</v>
      </c>
      <c r="I86" s="50">
        <f>SUMIF(Håndball!B:B,'Samlet budsjett'!A86,Håndball!AB:AB)</f>
        <v>0</v>
      </c>
      <c r="J86" s="50">
        <f>SUMIF(Futsal!B:B,'Samlet budsjett'!A:A,Futsal!AB:AB)</f>
        <v>0</v>
      </c>
      <c r="K86" s="50">
        <f>SUMIF('Tur og Friluftsliv'!B:B,'Samlet budsjett'!A86,'Tur og Friluftsliv'!AB:AB)</f>
        <v>0</v>
      </c>
      <c r="L86" s="50">
        <f>SUMIF('E-sport'!B:B,'Samlet budsjett'!A86,'E-sport'!AB:AB)</f>
        <v>0</v>
      </c>
      <c r="M86" s="50">
        <f>SUMIF(Prosjekt!B:B,'Samlet budsjett'!A86,Prosjekt!G:G)</f>
        <v>0</v>
      </c>
    </row>
    <row r="87" spans="1:13" hidden="1" outlineLevel="1" collapsed="1" x14ac:dyDescent="0.3">
      <c r="A87" s="10" t="s">
        <v>64</v>
      </c>
      <c r="B87" s="50">
        <f t="shared" si="25"/>
        <v>0</v>
      </c>
      <c r="C87" s="50">
        <f>SUMIF(Hovedlaget!B:B,'Samlet budsjett'!A87,Hovedlaget!AB:AB)</f>
        <v>0</v>
      </c>
      <c r="D87" s="50">
        <f>SUMIF(Allidrett!B:B,'Samlet budsjett'!A87,Allidrett!AB:AB)</f>
        <v>0</v>
      </c>
      <c r="E87" s="50">
        <f>SUMIF(Bueskyting!B:B,'Samlet budsjett'!A87,Bueskyting!AB:AB)</f>
        <v>0</v>
      </c>
      <c r="F87" s="50">
        <f>SUMIF(Tennis!B:B,'Samlet budsjett'!A87,Tennis!AB:AB)</f>
        <v>0</v>
      </c>
      <c r="G87" s="50">
        <f>SUMIF(Svømming!B:B,'Samlet budsjett'!A87,Svømming!AB:AB)</f>
        <v>0</v>
      </c>
      <c r="H87" s="50">
        <f>SUMIF(Fotball!B:B,'Samlet budsjett'!A87,Fotball!AB:AB)</f>
        <v>0</v>
      </c>
      <c r="I87" s="50">
        <f>SUMIF(Håndball!B:B,'Samlet budsjett'!A87,Håndball!AB:AB)</f>
        <v>0</v>
      </c>
      <c r="J87" s="50">
        <f>SUMIF(Futsal!B:B,'Samlet budsjett'!A:A,Futsal!AB:AB)</f>
        <v>0</v>
      </c>
      <c r="K87" s="50">
        <f>SUMIF('Tur og Friluftsliv'!B:B,'Samlet budsjett'!A87,'Tur og Friluftsliv'!AB:AB)</f>
        <v>0</v>
      </c>
      <c r="L87" s="50">
        <f>SUMIF('E-sport'!B:B,'Samlet budsjett'!A87,'E-sport'!AB:AB)</f>
        <v>0</v>
      </c>
      <c r="M87" s="50">
        <f>SUMIF(Prosjekt!B:B,'Samlet budsjett'!A87,Prosjekt!G:G)</f>
        <v>0</v>
      </c>
    </row>
    <row r="88" spans="1:13" hidden="1" outlineLevel="1" collapsed="1" x14ac:dyDescent="0.3">
      <c r="A88" s="10" t="s">
        <v>65</v>
      </c>
      <c r="B88" s="50">
        <f t="shared" si="25"/>
        <v>-8784</v>
      </c>
      <c r="C88" s="50">
        <f>SUMIF(Hovedlaget!B:B,'Samlet budsjett'!A88,Hovedlaget!AB:AB)</f>
        <v>-8784</v>
      </c>
      <c r="D88" s="50">
        <f>SUMIF(Allidrett!B:B,'Samlet budsjett'!A88,Allidrett!AB:AB)</f>
        <v>0</v>
      </c>
      <c r="E88" s="50">
        <f>SUMIF(Bueskyting!B:B,'Samlet budsjett'!A88,Bueskyting!AB:AB)</f>
        <v>0</v>
      </c>
      <c r="F88" s="50">
        <f>SUMIF(Tennis!B:B,'Samlet budsjett'!A88,Tennis!AB:AB)</f>
        <v>0</v>
      </c>
      <c r="G88" s="50">
        <f>SUMIF(Svømming!B:B,'Samlet budsjett'!A88,Svømming!AB:AB)</f>
        <v>0</v>
      </c>
      <c r="H88" s="50">
        <f>SUMIF(Fotball!B:B,'Samlet budsjett'!A88,Fotball!AB:AB)</f>
        <v>0</v>
      </c>
      <c r="I88" s="50">
        <f>SUMIF(Håndball!B:B,'Samlet budsjett'!A88,Håndball!AB:AB)</f>
        <v>0</v>
      </c>
      <c r="J88" s="50">
        <f>SUMIF(Futsal!B:B,'Samlet budsjett'!A:A,Futsal!AB:AB)</f>
        <v>0</v>
      </c>
      <c r="K88" s="50">
        <f>SUMIF('Tur og Friluftsliv'!B:B,'Samlet budsjett'!A88,'Tur og Friluftsliv'!AB:AB)</f>
        <v>0</v>
      </c>
      <c r="L88" s="50">
        <f>SUMIF('E-sport'!B:B,'Samlet budsjett'!A88,'E-sport'!AB:AB)</f>
        <v>0</v>
      </c>
      <c r="M88" s="50">
        <f>SUMIF(Prosjekt!B:B,'Samlet budsjett'!A88,Prosjekt!G:G)</f>
        <v>0</v>
      </c>
    </row>
    <row r="89" spans="1:13" hidden="1" outlineLevel="1" collapsed="1" x14ac:dyDescent="0.3">
      <c r="A89" s="10" t="s">
        <v>66</v>
      </c>
      <c r="B89" s="50">
        <f t="shared" si="25"/>
        <v>432000</v>
      </c>
      <c r="C89" s="50">
        <f>SUMIF(Hovedlaget!B:B,'Samlet budsjett'!A89,Hovedlaget!AB:AB)</f>
        <v>0</v>
      </c>
      <c r="D89" s="50">
        <f>SUMIF(Allidrett!B:B,'Samlet budsjett'!A89,Allidrett!AB:AB)</f>
        <v>0</v>
      </c>
      <c r="E89" s="50">
        <f>SUMIF(Bueskyting!B:B,'Samlet budsjett'!A89,Bueskyting!AB:AB)</f>
        <v>0</v>
      </c>
      <c r="F89" s="50">
        <f>SUMIF(Tennis!B:B,'Samlet budsjett'!A89,Tennis!AB:AB)</f>
        <v>44000</v>
      </c>
      <c r="G89" s="50">
        <f>SUMIF(Svømming!B:B,'Samlet budsjett'!A89,Svømming!AB:AB)</f>
        <v>0</v>
      </c>
      <c r="H89" s="50">
        <f>SUMIF(Fotball!B:B,'Samlet budsjett'!A89,Fotball!AB:AB)</f>
        <v>280000</v>
      </c>
      <c r="I89" s="50">
        <f>SUMIF(Håndball!B:B,'Samlet budsjett'!A89,Håndball!AB:AB)</f>
        <v>72000</v>
      </c>
      <c r="J89" s="50">
        <f>SUMIF(Futsal!B:B,'Samlet budsjett'!A:A,Futsal!AB:AB)</f>
        <v>0</v>
      </c>
      <c r="K89" s="50">
        <f>SUMIF('Tur og Friluftsliv'!B:B,'Samlet budsjett'!A89,'Tur og Friluftsliv'!AB:AB)</f>
        <v>0</v>
      </c>
      <c r="L89" s="50">
        <f>SUMIF('E-sport'!B:B,'Samlet budsjett'!A89,'E-sport'!AB:AB)</f>
        <v>36000</v>
      </c>
      <c r="M89" s="50">
        <f>SUMIF(Prosjekt!B:B,'Samlet budsjett'!A89,Prosjekt!G:G)</f>
        <v>0</v>
      </c>
    </row>
    <row r="90" spans="1:13" hidden="1" outlineLevel="1" x14ac:dyDescent="0.3">
      <c r="A90" s="84" t="s">
        <v>226</v>
      </c>
      <c r="B90" s="50">
        <f t="shared" si="25"/>
        <v>4000</v>
      </c>
      <c r="C90" s="50">
        <f>SUMIF(Hovedlaget!B:B,'Samlet budsjett'!A90,Hovedlaget!AB:AB)</f>
        <v>0</v>
      </c>
      <c r="D90" s="50">
        <f>SUMIF(Allidrett!B:B,'Samlet budsjett'!A90,Allidrett!AB:AB)</f>
        <v>0</v>
      </c>
      <c r="E90" s="50">
        <f>SUMIF(Bueskyting!B:B,'Samlet budsjett'!A90,Bueskyting!AB:AB)</f>
        <v>0</v>
      </c>
      <c r="F90" s="50">
        <f>SUMIF(Tennis!B:B,'Samlet budsjett'!A90,Tennis!AB:AB)</f>
        <v>0</v>
      </c>
      <c r="G90" s="50">
        <f>SUMIF(Svømming!B:B,'Samlet budsjett'!A90,Svømming!AB:AB)</f>
        <v>0</v>
      </c>
      <c r="H90" s="50">
        <f>SUMIF(Fotball!B:B,'Samlet budsjett'!A90,Fotball!AB:AB)</f>
        <v>0</v>
      </c>
      <c r="I90" s="50">
        <f>SUMIF(Håndball!B:B,'Samlet budsjett'!A90,Håndball!AB:AB)</f>
        <v>4000</v>
      </c>
      <c r="J90" s="50">
        <f>SUMIF(Futsal!B:B,'Samlet budsjett'!A:A,Futsal!AB:AB)</f>
        <v>0</v>
      </c>
      <c r="K90" s="50">
        <f>SUMIF('Tur og Friluftsliv'!B:B,'Samlet budsjett'!A90,'Tur og Friluftsliv'!AB:AB)</f>
        <v>0</v>
      </c>
      <c r="L90" s="50">
        <f>SUMIF('E-sport'!B:B,'Samlet budsjett'!A90,'E-sport'!AB:AB)</f>
        <v>0</v>
      </c>
      <c r="M90" s="50">
        <f>SUMIF(Prosjekt!B:B,'Samlet budsjett'!A90,Prosjekt!G:G)</f>
        <v>0</v>
      </c>
    </row>
    <row r="91" spans="1:13" hidden="1" outlineLevel="1" collapsed="1" x14ac:dyDescent="0.3">
      <c r="A91" s="10" t="s">
        <v>67</v>
      </c>
      <c r="B91" s="50">
        <f t="shared" si="25"/>
        <v>255145.18032000004</v>
      </c>
      <c r="C91" s="50">
        <f>SUMIF(Hovedlaget!B:B,'Samlet budsjett'!A91,Hovedlaget!AB:AB)</f>
        <v>139495.18032000001</v>
      </c>
      <c r="D91" s="50">
        <f>SUMIF(Allidrett!B:B,'Samlet budsjett'!A91,Allidrett!AB:AB)</f>
        <v>0</v>
      </c>
      <c r="E91" s="50">
        <f>SUMIF(Bueskyting!B:B,'Samlet budsjett'!A91,Bueskyting!AB:AB)</f>
        <v>0</v>
      </c>
      <c r="F91" s="50">
        <f>SUMIF(Tennis!B:B,'Samlet budsjett'!A91,Tennis!AB:AB)</f>
        <v>0</v>
      </c>
      <c r="G91" s="50">
        <f>SUMIF(Svømming!B:B,'Samlet budsjett'!A91,Svømming!AB:AB)</f>
        <v>24000</v>
      </c>
      <c r="H91" s="50">
        <f>SUMIF(Fotball!B:B,'Samlet budsjett'!A91,Fotball!AB:AB)</f>
        <v>91650.000000000015</v>
      </c>
      <c r="I91" s="50">
        <f>SUMIF(Håndball!B:B,'Samlet budsjett'!A91,Håndball!AB:AB)</f>
        <v>0</v>
      </c>
      <c r="J91" s="50">
        <f>SUMIF(Futsal!B:B,'Samlet budsjett'!A:A,Futsal!AB:AB)</f>
        <v>0</v>
      </c>
      <c r="K91" s="50">
        <f>SUMIF('Tur og Friluftsliv'!B:B,'Samlet budsjett'!A91,'Tur og Friluftsliv'!AB:AB)</f>
        <v>0</v>
      </c>
      <c r="L91" s="50">
        <f>SUMIF('E-sport'!B:B,'Samlet budsjett'!A91,'E-sport'!AB:AB)</f>
        <v>0</v>
      </c>
      <c r="M91" s="50">
        <f>SUMIF(Prosjekt!B:B,'Samlet budsjett'!A91,Prosjekt!G:G)</f>
        <v>0</v>
      </c>
    </row>
    <row r="92" spans="1:13" hidden="1" outlineLevel="1" collapsed="1" x14ac:dyDescent="0.3">
      <c r="A92" s="10" t="s">
        <v>68</v>
      </c>
      <c r="B92" s="50">
        <f t="shared" si="25"/>
        <v>26046.808392640003</v>
      </c>
      <c r="C92" s="50">
        <f>SUMIF(Hovedlaget!B:B,'Samlet budsjett'!A92,Hovedlaget!AB:AB)</f>
        <v>14228.508392640002</v>
      </c>
      <c r="D92" s="50">
        <f>SUMIF(Allidrett!B:B,'Samlet budsjett'!A92,Allidrett!AB:AB)</f>
        <v>0</v>
      </c>
      <c r="E92" s="50">
        <f>SUMIF(Bueskyting!B:B,'Samlet budsjett'!A92,Bueskyting!AB:AB)</f>
        <v>0</v>
      </c>
      <c r="F92" s="50">
        <f>SUMIF(Tennis!B:B,'Samlet budsjett'!A92,Tennis!AB:AB)</f>
        <v>0</v>
      </c>
      <c r="G92" s="50">
        <f>SUMIF(Svømming!B:B,'Samlet budsjett'!A92,Svømming!AB:AB)</f>
        <v>2470</v>
      </c>
      <c r="H92" s="50">
        <f>SUMIF(Fotball!B:B,'Samlet budsjett'!A92,Fotball!AB:AB)</f>
        <v>9348.2999999999993</v>
      </c>
      <c r="I92" s="50">
        <f>SUMIF(Håndball!B:B,'Samlet budsjett'!A92,Håndball!AB:AB)</f>
        <v>0</v>
      </c>
      <c r="J92" s="50">
        <f>SUMIF(Futsal!B:B,'Samlet budsjett'!A:A,Futsal!AB:AB)</f>
        <v>0</v>
      </c>
      <c r="K92" s="50">
        <f>SUMIF('Tur og Friluftsliv'!B:B,'Samlet budsjett'!A92,'Tur og Friluftsliv'!AB:AB)</f>
        <v>0</v>
      </c>
      <c r="L92" s="50">
        <f>SUMIF('E-sport'!B:B,'Samlet budsjett'!A92,'E-sport'!AB:AB)</f>
        <v>0</v>
      </c>
      <c r="M92" s="50">
        <f>SUMIF(Prosjekt!B:B,'Samlet budsjett'!A92,Prosjekt!G:G)</f>
        <v>0</v>
      </c>
    </row>
    <row r="93" spans="1:13" hidden="1" outlineLevel="1" x14ac:dyDescent="0.3">
      <c r="A93" s="10" t="s">
        <v>165</v>
      </c>
      <c r="B93" s="50">
        <f t="shared" si="25"/>
        <v>547008</v>
      </c>
      <c r="C93" s="50">
        <f>SUMIF(Hovedlaget!B:B,'Samlet budsjett'!A93,Hovedlaget!AB:AB)</f>
        <v>0</v>
      </c>
      <c r="D93" s="50">
        <f>SUMIF(Allidrett!B:B,'Samlet budsjett'!A93,Allidrett!AB:AB)</f>
        <v>612</v>
      </c>
      <c r="E93" s="50">
        <f>SUMIF(Bueskyting!B:B,'Samlet budsjett'!A93,Bueskyting!AB:AB)</f>
        <v>22324</v>
      </c>
      <c r="F93" s="50">
        <f>SUMIF(Tennis!B:B,'Samlet budsjett'!A93,Tennis!AB:AB)</f>
        <v>37772</v>
      </c>
      <c r="G93" s="50">
        <f>SUMIF(Svømming!B:B,'Samlet budsjett'!A93,Svømming!AB:AB)</f>
        <v>155404</v>
      </c>
      <c r="H93" s="50">
        <f>SUMIF(Fotball!B:B,'Samlet budsjett'!A93,Fotball!AB:AB)</f>
        <v>231084</v>
      </c>
      <c r="I93" s="50">
        <f>SUMIF(Håndball!B:B,'Samlet budsjett'!A93,Håndball!AB:AB)</f>
        <v>91444</v>
      </c>
      <c r="J93" s="50">
        <f>SUMIF(Futsal!B:B,'Samlet budsjett'!A:A,Futsal!AB:AB)</f>
        <v>4940</v>
      </c>
      <c r="K93" s="50">
        <f>SUMIF('Tur og Friluftsliv'!B:B,'Samlet budsjett'!A93,'Tur og Friluftsliv'!AB:AB)</f>
        <v>1400</v>
      </c>
      <c r="L93" s="50">
        <f>SUMIF('E-sport'!B:B,'Samlet budsjett'!A93,'E-sport'!AB:AB)</f>
        <v>2028</v>
      </c>
      <c r="M93" s="50">
        <f>SUMIF(Prosjekt!B:B,'Samlet budsjett'!A93,Prosjekt!G:G)</f>
        <v>0</v>
      </c>
    </row>
    <row r="94" spans="1:13" hidden="1" outlineLevel="1" collapsed="1" x14ac:dyDescent="0.3">
      <c r="A94" s="10" t="s">
        <v>69</v>
      </c>
      <c r="B94" s="50">
        <f t="shared" si="25"/>
        <v>0</v>
      </c>
      <c r="C94" s="50">
        <f>SUMIF(Hovedlaget!B:B,'Samlet budsjett'!A94,Hovedlaget!AB:AB)</f>
        <v>0</v>
      </c>
      <c r="D94" s="50">
        <f>SUMIF(Allidrett!B:B,'Samlet budsjett'!A94,Allidrett!AB:AB)</f>
        <v>0</v>
      </c>
      <c r="E94" s="50">
        <f>SUMIF(Bueskyting!B:B,'Samlet budsjett'!A94,Bueskyting!AB:AB)</f>
        <v>0</v>
      </c>
      <c r="F94" s="50">
        <f>SUMIF(Tennis!B:B,'Samlet budsjett'!A94,Tennis!AB:AB)</f>
        <v>0</v>
      </c>
      <c r="G94" s="50">
        <f>SUMIF(Svømming!B:B,'Samlet budsjett'!A94,Svømming!AB:AB)</f>
        <v>0</v>
      </c>
      <c r="H94" s="50">
        <f>SUMIF(Fotball!B:B,'Samlet budsjett'!A94,Fotball!AB:AB)</f>
        <v>0</v>
      </c>
      <c r="I94" s="50">
        <f>SUMIF(Håndball!B:B,'Samlet budsjett'!A94,Håndball!AB:AB)</f>
        <v>0</v>
      </c>
      <c r="J94" s="50">
        <f>SUMIF(Futsal!B:B,'Samlet budsjett'!A:A,Futsal!AB:AB)</f>
        <v>0</v>
      </c>
      <c r="K94" s="50">
        <f>SUMIF('Tur og Friluftsliv'!B:B,'Samlet budsjett'!A94,'Tur og Friluftsliv'!AB:AB)</f>
        <v>0</v>
      </c>
      <c r="L94" s="50">
        <f>SUMIF('E-sport'!B:B,'Samlet budsjett'!A94,'E-sport'!AB:AB)</f>
        <v>0</v>
      </c>
      <c r="M94" s="50">
        <f>SUMIF(Prosjekt!B:B,'Samlet budsjett'!A94,Prosjekt!G:G)</f>
        <v>0</v>
      </c>
    </row>
    <row r="95" spans="1:13" hidden="1" outlineLevel="1" collapsed="1" x14ac:dyDescent="0.3">
      <c r="A95" s="10" t="s">
        <v>70</v>
      </c>
      <c r="B95" s="50">
        <f t="shared" si="25"/>
        <v>84566.376000000018</v>
      </c>
      <c r="C95" s="50">
        <f>SUMIF(Hovedlaget!B:B,'Samlet budsjett'!A95,Hovedlaget!AB:AB)</f>
        <v>49466.376000000018</v>
      </c>
      <c r="D95" s="50">
        <f>SUMIF(Allidrett!B:B,'Samlet budsjett'!A95,Allidrett!AB:AB)</f>
        <v>0</v>
      </c>
      <c r="E95" s="50">
        <f>SUMIF(Bueskyting!B:B,'Samlet budsjett'!A95,Bueskyting!AB:AB)</f>
        <v>0</v>
      </c>
      <c r="F95" s="50">
        <f>SUMIF(Tennis!B:B,'Samlet budsjett'!A95,Tennis!AB:AB)</f>
        <v>0</v>
      </c>
      <c r="G95" s="50">
        <f>SUMIF(Svømming!B:B,'Samlet budsjett'!A95,Svømming!AB:AB)</f>
        <v>0</v>
      </c>
      <c r="H95" s="50">
        <f>SUMIF(Fotball!B:B,'Samlet budsjett'!A95,Fotball!AB:AB)</f>
        <v>35100.000000000007</v>
      </c>
      <c r="I95" s="50">
        <f>SUMIF(Håndball!B:B,'Samlet budsjett'!A95,Håndball!AB:AB)</f>
        <v>0</v>
      </c>
      <c r="J95" s="50">
        <f>SUMIF(Futsal!B:B,'Samlet budsjett'!A:A,Futsal!AB:AB)</f>
        <v>0</v>
      </c>
      <c r="K95" s="50">
        <f>SUMIF('Tur og Friluftsliv'!B:B,'Samlet budsjett'!A95,'Tur og Friluftsliv'!AB:AB)</f>
        <v>0</v>
      </c>
      <c r="L95" s="50">
        <f>SUMIF('E-sport'!B:B,'Samlet budsjett'!A95,'E-sport'!AB:AB)</f>
        <v>0</v>
      </c>
      <c r="M95" s="50">
        <f>SUMIF(Prosjekt!B:B,'Samlet budsjett'!A95,Prosjekt!G:G)</f>
        <v>0</v>
      </c>
    </row>
    <row r="96" spans="1:13" hidden="1" outlineLevel="1" x14ac:dyDescent="0.3">
      <c r="A96" s="38" t="s">
        <v>180</v>
      </c>
      <c r="B96" s="50">
        <f t="shared" si="25"/>
        <v>174000</v>
      </c>
      <c r="C96" s="50">
        <f>SUMIF(Hovedlaget!B:B,'Samlet budsjett'!A96,Hovedlaget!AB:AB)</f>
        <v>0</v>
      </c>
      <c r="D96" s="50">
        <f>SUMIF(Allidrett!B:B,'Samlet budsjett'!A96,Allidrett!AB:AB)</f>
        <v>0</v>
      </c>
      <c r="E96" s="50">
        <f>SUMIF(Bueskyting!B:B,'Samlet budsjett'!A96,Bueskyting!AB:AB)</f>
        <v>0</v>
      </c>
      <c r="F96" s="50">
        <f>SUMIF(Tennis!B:B,'Samlet budsjett'!A96,Tennis!AB:AB)</f>
        <v>0</v>
      </c>
      <c r="G96" s="50">
        <f>SUMIF(Svømming!B:B,'Samlet budsjett'!A96,Svømming!AB:AB)</f>
        <v>107000</v>
      </c>
      <c r="H96" s="50">
        <f>SUMIF(Fotball!B:B,'Samlet budsjett'!A96,Fotball!AB:AB)</f>
        <v>15000</v>
      </c>
      <c r="I96" s="50">
        <f>SUMIF(Håndball!B:B,'Samlet budsjett'!A96,Håndball!AB:AB)</f>
        <v>42000</v>
      </c>
      <c r="J96" s="50">
        <f>SUMIF(Futsal!B:B,'Samlet budsjett'!A:A,Futsal!AB:AB)</f>
        <v>0</v>
      </c>
      <c r="K96" s="50">
        <f>SUMIF('Tur og Friluftsliv'!B:B,'Samlet budsjett'!A96,'Tur og Friluftsliv'!AB:AB)</f>
        <v>0</v>
      </c>
      <c r="L96" s="50">
        <f>SUMIF('E-sport'!B:B,'Samlet budsjett'!A96,'E-sport'!AB:AB)</f>
        <v>10000</v>
      </c>
      <c r="M96" s="50">
        <f>SUMIF(Prosjekt!B:B,'Samlet budsjett'!A96,Prosjekt!G:G)</f>
        <v>0</v>
      </c>
    </row>
    <row r="97" spans="1:13" hidden="1" outlineLevel="1" x14ac:dyDescent="0.3">
      <c r="A97" s="10" t="s">
        <v>200</v>
      </c>
      <c r="B97" s="50">
        <f t="shared" si="25"/>
        <v>40000</v>
      </c>
      <c r="C97" s="50">
        <f>SUMIF(Hovedlaget!B:B,'Samlet budsjett'!A97,Hovedlaget!AB:AB)</f>
        <v>0</v>
      </c>
      <c r="D97" s="50">
        <f>SUMIF(Allidrett!B:B,'Samlet budsjett'!A97,Allidrett!AB:AB)</f>
        <v>0</v>
      </c>
      <c r="E97" s="50">
        <f>SUMIF(Bueskyting!B:B,'Samlet budsjett'!A97,Bueskyting!AB:AB)</f>
        <v>0</v>
      </c>
      <c r="F97" s="50">
        <f>SUMIF(Tennis!B:B,'Samlet budsjett'!A97,Tennis!AB:AB)</f>
        <v>0</v>
      </c>
      <c r="G97" s="50">
        <f>SUMIF(Svømming!B:B,'Samlet budsjett'!A97,Svømming!AB:AB)</f>
        <v>0</v>
      </c>
      <c r="H97" s="50">
        <f>SUMIF(Fotball!B:B,'Samlet budsjett'!A97,Fotball!AB:AB)</f>
        <v>40000</v>
      </c>
      <c r="I97" s="50">
        <f>SUMIF(Håndball!B:B,'Samlet budsjett'!A97,Håndball!AB:AB)</f>
        <v>0</v>
      </c>
      <c r="J97" s="50">
        <f>SUMIF(Futsal!B:B,'Samlet budsjett'!A:A,Futsal!AB:AB)</f>
        <v>0</v>
      </c>
      <c r="K97" s="50">
        <f>SUMIF('Tur og Friluftsliv'!B:B,'Samlet budsjett'!A97,'Tur og Friluftsliv'!AB:AB)</f>
        <v>0</v>
      </c>
      <c r="L97" s="50">
        <f>SUMIF('E-sport'!B:B,'Samlet budsjett'!A97,'E-sport'!AB:AB)</f>
        <v>0</v>
      </c>
      <c r="M97" s="50">
        <f>SUMIF(Prosjekt!B:B,'Samlet budsjett'!A97,Prosjekt!G:G)</f>
        <v>0</v>
      </c>
    </row>
    <row r="98" spans="1:13" hidden="1" outlineLevel="1" x14ac:dyDescent="0.3">
      <c r="A98" s="84" t="s">
        <v>170</v>
      </c>
      <c r="B98" s="50">
        <f t="shared" si="25"/>
        <v>12000</v>
      </c>
      <c r="C98" s="50">
        <f>SUMIF(Hovedlaget!B:B,'Samlet budsjett'!A98,Hovedlaget!AB:AB)</f>
        <v>0</v>
      </c>
      <c r="D98" s="50">
        <f>SUMIF(Allidrett!B:B,'Samlet budsjett'!A98,Allidrett!AB:AB)</f>
        <v>0</v>
      </c>
      <c r="E98" s="50">
        <f>SUMIF(Bueskyting!B:B,'Samlet budsjett'!A98,Bueskyting!AB:AB)</f>
        <v>0</v>
      </c>
      <c r="F98" s="50">
        <f>SUMIF(Tennis!B:B,'Samlet budsjett'!A98,Tennis!AB:AB)</f>
        <v>0</v>
      </c>
      <c r="G98" s="50">
        <f>SUMIF(Svømming!B:B,'Samlet budsjett'!A98,Svømming!AB:AB)</f>
        <v>0</v>
      </c>
      <c r="H98" s="50">
        <f>SUMIF(Fotball!B:B,'Samlet budsjett'!A98,Fotball!AB:AB)</f>
        <v>0</v>
      </c>
      <c r="I98" s="50">
        <f>SUMIF(Håndball!B:B,'Samlet budsjett'!A98,Håndball!AB:AB)</f>
        <v>12000</v>
      </c>
      <c r="J98" s="50">
        <f>SUMIF(Futsal!B:B,'Samlet budsjett'!A:A,Futsal!AB:AB)</f>
        <v>0</v>
      </c>
      <c r="K98" s="50">
        <f>SUMIF('Tur og Friluftsliv'!B:B,'Samlet budsjett'!A98,'Tur og Friluftsliv'!AB:AB)</f>
        <v>0</v>
      </c>
      <c r="L98" s="50">
        <f>SUMIF('E-sport'!B:B,'Samlet budsjett'!A98,'E-sport'!AB:AB)</f>
        <v>0</v>
      </c>
      <c r="M98" s="50">
        <f>SUMIF(Prosjekt!B:B,'Samlet budsjett'!A98,Prosjekt!G:G)</f>
        <v>0</v>
      </c>
    </row>
    <row r="99" spans="1:13" hidden="1" outlineLevel="1" collapsed="1" x14ac:dyDescent="0.3">
      <c r="A99" s="10" t="s">
        <v>71</v>
      </c>
      <c r="B99" s="50">
        <f t="shared" si="25"/>
        <v>312800</v>
      </c>
      <c r="C99" s="50">
        <f>SUMIF(Hovedlaget!B:B,'Samlet budsjett'!A99,Hovedlaget!AB:AB)</f>
        <v>102250</v>
      </c>
      <c r="D99" s="50">
        <f>SUMIF(Allidrett!B:B,'Samlet budsjett'!A99,Allidrett!AB:AB)</f>
        <v>0</v>
      </c>
      <c r="E99" s="50">
        <f>SUMIF(Bueskyting!B:B,'Samlet budsjett'!A99,Bueskyting!AB:AB)</f>
        <v>15000</v>
      </c>
      <c r="F99" s="50">
        <f>SUMIF(Tennis!B:B,'Samlet budsjett'!A99,Tennis!AB:AB)</f>
        <v>2500</v>
      </c>
      <c r="G99" s="50">
        <f>SUMIF(Svømming!B:B,'Samlet budsjett'!A99,Svømming!AB:AB)</f>
        <v>88050</v>
      </c>
      <c r="H99" s="50">
        <f>SUMIF(Fotball!B:B,'Samlet budsjett'!A99,Fotball!AB:AB)</f>
        <v>50000</v>
      </c>
      <c r="I99" s="50">
        <f>SUMIF(Håndball!B:B,'Samlet budsjett'!A99,Håndball!AB:AB)</f>
        <v>42000</v>
      </c>
      <c r="J99" s="50">
        <f>SUMIF(Futsal!B:B,'Samlet budsjett'!A:A,Futsal!AB:AB)</f>
        <v>8000</v>
      </c>
      <c r="K99" s="50">
        <f>SUMIF('Tur og Friluftsliv'!B:B,'Samlet budsjett'!A99,'Tur og Friluftsliv'!AB:AB)</f>
        <v>5000</v>
      </c>
      <c r="L99" s="50">
        <f>SUMIF('E-sport'!B:B,'Samlet budsjett'!A99,'E-sport'!AB:AB)</f>
        <v>0</v>
      </c>
      <c r="M99" s="50">
        <f>SUMIF(Prosjekt!B:B,'Samlet budsjett'!A99,Prosjekt!G:G)</f>
        <v>0</v>
      </c>
    </row>
    <row r="100" spans="1:13" hidden="1" outlineLevel="1" x14ac:dyDescent="0.3">
      <c r="A100" s="38" t="s">
        <v>181</v>
      </c>
      <c r="B100" s="50">
        <f t="shared" si="25"/>
        <v>400</v>
      </c>
      <c r="C100" s="50">
        <f>SUMIF(Hovedlaget!B:B,'Samlet budsjett'!A100,Hovedlaget!AB:AB)</f>
        <v>0</v>
      </c>
      <c r="D100" s="50">
        <f>SUMIF(Allidrett!B:B,'Samlet budsjett'!A100,Allidrett!AB:AB)</f>
        <v>0</v>
      </c>
      <c r="E100" s="50">
        <f>SUMIF(Bueskyting!B:B,'Samlet budsjett'!A100,Bueskyting!AB:AB)</f>
        <v>0</v>
      </c>
      <c r="F100" s="50">
        <f>SUMIF(Tennis!B:B,'Samlet budsjett'!A100,Tennis!AB:AB)</f>
        <v>0</v>
      </c>
      <c r="G100" s="50">
        <f>SUMIF(Svømming!B:B,'Samlet budsjett'!A100,Svømming!AB:AB)</f>
        <v>400</v>
      </c>
      <c r="H100" s="50">
        <f>SUMIF(Fotball!B:B,'Samlet budsjett'!A100,Fotball!AB:AB)</f>
        <v>0</v>
      </c>
      <c r="I100" s="50">
        <f>SUMIF(Håndball!B:B,'Samlet budsjett'!A100,Håndball!AB:AB)</f>
        <v>0</v>
      </c>
      <c r="J100" s="50">
        <f>SUMIF(Futsal!B:B,'Samlet budsjett'!A:A,Futsal!AB:AB)</f>
        <v>0</v>
      </c>
      <c r="K100" s="50">
        <f>SUMIF('Tur og Friluftsliv'!B:B,'Samlet budsjett'!A100,'Tur og Friluftsliv'!AB:AB)</f>
        <v>0</v>
      </c>
      <c r="L100" s="50">
        <f>SUMIF('E-sport'!B:B,'Samlet budsjett'!A100,'E-sport'!AB:AB)</f>
        <v>0</v>
      </c>
      <c r="M100" s="50">
        <f>SUMIF(Prosjekt!B:B,'Samlet budsjett'!A100,Prosjekt!G:G)</f>
        <v>0</v>
      </c>
    </row>
    <row r="101" spans="1:13" collapsed="1" x14ac:dyDescent="0.3">
      <c r="A101" s="8" t="s">
        <v>12</v>
      </c>
      <c r="B101" s="49">
        <f t="shared" si="25"/>
        <v>8345967</v>
      </c>
      <c r="C101" s="49">
        <f t="shared" ref="C101:K101" si="26">SUM(C102:C152)</f>
        <v>2670828</v>
      </c>
      <c r="D101" s="49">
        <f>SUM(D102:D152)</f>
        <v>1000</v>
      </c>
      <c r="E101" s="49">
        <f>SUM(E102:E152)</f>
        <v>34000</v>
      </c>
      <c r="F101" s="49">
        <f>SUM(F102:F152)</f>
        <v>49680</v>
      </c>
      <c r="G101" s="49">
        <f>SUM(G102:G152)</f>
        <v>10500</v>
      </c>
      <c r="H101" s="49">
        <f>SUM(H102:H152)</f>
        <v>453000</v>
      </c>
      <c r="I101" s="49">
        <f t="shared" ref="I101" si="27">SUM(I102:I152)</f>
        <v>144000</v>
      </c>
      <c r="J101" s="49">
        <f>SUM(J102:J152)</f>
        <v>8700</v>
      </c>
      <c r="K101" s="49">
        <f t="shared" si="26"/>
        <v>10500</v>
      </c>
      <c r="L101" s="49">
        <f t="shared" ref="L101:M101" si="28">SUM(L102:L152)</f>
        <v>0</v>
      </c>
      <c r="M101" s="49">
        <f t="shared" si="28"/>
        <v>4963759</v>
      </c>
    </row>
    <row r="102" spans="1:13" hidden="1" outlineLevel="1" x14ac:dyDescent="0.3">
      <c r="A102" s="10" t="s">
        <v>72</v>
      </c>
      <c r="B102" s="50">
        <f t="shared" si="25"/>
        <v>407428</v>
      </c>
      <c r="C102" s="50">
        <f>SUMIF(Hovedlaget!B:B,'Samlet budsjett'!A102,Hovedlaget!AB:AB)</f>
        <v>407428</v>
      </c>
      <c r="D102" s="50">
        <f>SUMIF(Allidrett!B:B,'Samlet budsjett'!A102,Allidrett!AB:AB)</f>
        <v>0</v>
      </c>
      <c r="E102" s="50">
        <f>SUMIF(Bueskyting!B:B,'Samlet budsjett'!A102,Bueskyting!AB:AB)</f>
        <v>0</v>
      </c>
      <c r="F102" s="50">
        <f>SUMIF(Tennis!B:B,'Samlet budsjett'!A102,Tennis!AB:AB)</f>
        <v>0</v>
      </c>
      <c r="G102" s="50">
        <f>SUMIF(Svømming!B:B,'Samlet budsjett'!A102,Svømming!AB:AB)</f>
        <v>0</v>
      </c>
      <c r="H102" s="50">
        <f>SUMIF(Fotball!B:B,'Samlet budsjett'!A102,Fotball!AB:AB)</f>
        <v>0</v>
      </c>
      <c r="I102" s="50">
        <f>SUMIF(Håndball!B:B,'Samlet budsjett'!A102,Håndball!AB:AB)</f>
        <v>0</v>
      </c>
      <c r="J102" s="50">
        <f>SUMIF(Futsal!B:B,'Samlet budsjett'!A:A,Futsal!AB:AB)</f>
        <v>0</v>
      </c>
      <c r="K102" s="50">
        <f>SUMIF('Tur og Friluftsliv'!B:B,'Samlet budsjett'!A102,'Tur og Friluftsliv'!AB:AB)</f>
        <v>0</v>
      </c>
      <c r="L102" s="50">
        <f>SUMIF('E-sport'!B:B,'Samlet budsjett'!A102,'E-sport'!AB:AB)</f>
        <v>0</v>
      </c>
      <c r="M102" s="50">
        <f>SUMIF(Prosjekt!B:B,'Samlet budsjett'!A102,Prosjekt!G:G)</f>
        <v>0</v>
      </c>
    </row>
    <row r="103" spans="1:13" hidden="1" outlineLevel="1" collapsed="1" x14ac:dyDescent="0.3">
      <c r="A103" s="10" t="s">
        <v>73</v>
      </c>
      <c r="B103" s="50">
        <f t="shared" si="25"/>
        <v>0</v>
      </c>
      <c r="C103" s="50">
        <f>SUMIF(Hovedlaget!B:B,'Samlet budsjett'!A103,Hovedlaget!AB:AB)</f>
        <v>0</v>
      </c>
      <c r="D103" s="50">
        <f>SUMIF(Allidrett!B:B,'Samlet budsjett'!A103,Allidrett!AB:AB)</f>
        <v>0</v>
      </c>
      <c r="E103" s="50">
        <f>SUMIF(Bueskyting!B:B,'Samlet budsjett'!A103,Bueskyting!AB:AB)</f>
        <v>0</v>
      </c>
      <c r="F103" s="50">
        <f>SUMIF(Tennis!B:B,'Samlet budsjett'!A103,Tennis!AB:AB)</f>
        <v>0</v>
      </c>
      <c r="G103" s="50">
        <f>SUMIF(Svømming!B:B,'Samlet budsjett'!A103,Svømming!AB:AB)</f>
        <v>0</v>
      </c>
      <c r="H103" s="50">
        <f>SUMIF(Fotball!B:B,'Samlet budsjett'!A103,Fotball!AB:AB)</f>
        <v>0</v>
      </c>
      <c r="I103" s="50">
        <f>SUMIF(Håndball!B:B,'Samlet budsjett'!A103,Håndball!AB:AB)</f>
        <v>0</v>
      </c>
      <c r="J103" s="50">
        <f>SUMIF(Futsal!B:B,'Samlet budsjett'!A:A,Futsal!AB:AB)</f>
        <v>0</v>
      </c>
      <c r="K103" s="50">
        <f>SUMIF('Tur og Friluftsliv'!B:B,'Samlet budsjett'!A103,'Tur og Friluftsliv'!AB:AB)</f>
        <v>0</v>
      </c>
      <c r="L103" s="50">
        <f>SUMIF('E-sport'!B:B,'Samlet budsjett'!A103,'E-sport'!AB:AB)</f>
        <v>0</v>
      </c>
      <c r="M103" s="50">
        <f>SUMIF(Prosjekt!B:B,'Samlet budsjett'!A103,Prosjekt!G:G)</f>
        <v>0</v>
      </c>
    </row>
    <row r="104" spans="1:13" hidden="1" outlineLevel="1" x14ac:dyDescent="0.3">
      <c r="A104" s="38" t="s">
        <v>182</v>
      </c>
      <c r="B104" s="50">
        <f t="shared" si="25"/>
        <v>2000</v>
      </c>
      <c r="C104" s="50">
        <f>SUMIF(Hovedlaget!B:B,'Samlet budsjett'!A104,Hovedlaget!AB:AB)</f>
        <v>0</v>
      </c>
      <c r="D104" s="50">
        <f>SUMIF(Allidrett!B:B,'Samlet budsjett'!A104,Allidrett!AB:AB)</f>
        <v>0</v>
      </c>
      <c r="E104" s="50">
        <f>SUMIF(Bueskyting!B:B,'Samlet budsjett'!A104,Bueskyting!AB:AB)</f>
        <v>0</v>
      </c>
      <c r="F104" s="50">
        <f>SUMIF(Tennis!B:B,'Samlet budsjett'!A104,Tennis!AB:AB)</f>
        <v>0</v>
      </c>
      <c r="G104" s="50">
        <f>SUMIF(Svømming!B:B,'Samlet budsjett'!A104,Svømming!AB:AB)</f>
        <v>2000</v>
      </c>
      <c r="H104" s="50">
        <f>SUMIF(Fotball!B:B,'Samlet budsjett'!A104,Fotball!AB:AB)</f>
        <v>0</v>
      </c>
      <c r="I104" s="50">
        <f>SUMIF(Håndball!B:B,'Samlet budsjett'!A104,Håndball!AB:AB)</f>
        <v>0</v>
      </c>
      <c r="J104" s="50">
        <f>SUMIF(Futsal!B:B,'Samlet budsjett'!A:A,Futsal!AB:AB)</f>
        <v>0</v>
      </c>
      <c r="K104" s="50">
        <f>SUMIF('Tur og Friluftsliv'!B:B,'Samlet budsjett'!A104,'Tur og Friluftsliv'!AB:AB)</f>
        <v>0</v>
      </c>
      <c r="L104" s="50">
        <f>SUMIF('E-sport'!B:B,'Samlet budsjett'!A104,'E-sport'!AB:AB)</f>
        <v>0</v>
      </c>
      <c r="M104" s="50">
        <f>SUMIF(Prosjekt!B:B,'Samlet budsjett'!A104,Prosjekt!G:G)</f>
        <v>0</v>
      </c>
    </row>
    <row r="105" spans="1:13" hidden="1" outlineLevel="1" collapsed="1" x14ac:dyDescent="0.3">
      <c r="A105" s="10" t="s">
        <v>74</v>
      </c>
      <c r="B105" s="50">
        <f t="shared" si="25"/>
        <v>0</v>
      </c>
      <c r="C105" s="50">
        <f>SUMIF(Hovedlaget!B:B,'Samlet budsjett'!A105,Hovedlaget!AB:AB)</f>
        <v>0</v>
      </c>
      <c r="D105" s="50">
        <f>SUMIF(Allidrett!B:B,'Samlet budsjett'!A105,Allidrett!AB:AB)</f>
        <v>0</v>
      </c>
      <c r="E105" s="50">
        <f>SUMIF(Bueskyting!B:B,'Samlet budsjett'!A105,Bueskyting!AB:AB)</f>
        <v>0</v>
      </c>
      <c r="F105" s="50">
        <f>SUMIF(Tennis!B:B,'Samlet budsjett'!A105,Tennis!AB:AB)</f>
        <v>0</v>
      </c>
      <c r="G105" s="50">
        <f>SUMIF(Svømming!B:B,'Samlet budsjett'!A105,Svømming!AB:AB)</f>
        <v>0</v>
      </c>
      <c r="H105" s="50">
        <f>SUMIF(Fotball!B:B,'Samlet budsjett'!A105,Fotball!AB:AB)</f>
        <v>0</v>
      </c>
      <c r="I105" s="50">
        <f>SUMIF(Håndball!B:B,'Samlet budsjett'!A105,Håndball!AB:AB)</f>
        <v>0</v>
      </c>
      <c r="J105" s="50">
        <f>SUMIF(Futsal!B:B,'Samlet budsjett'!A:A,Futsal!AB:AB)</f>
        <v>0</v>
      </c>
      <c r="K105" s="50">
        <f>SUMIF('Tur og Friluftsliv'!B:B,'Samlet budsjett'!A105,'Tur og Friluftsliv'!AB:AB)</f>
        <v>0</v>
      </c>
      <c r="L105" s="50">
        <f>SUMIF('E-sport'!B:B,'Samlet budsjett'!A105,'E-sport'!AB:AB)</f>
        <v>0</v>
      </c>
      <c r="M105" s="50">
        <f>SUMIF(Prosjekt!B:B,'Samlet budsjett'!A105,Prosjekt!G:G)</f>
        <v>0</v>
      </c>
    </row>
    <row r="106" spans="1:13" hidden="1" outlineLevel="1" collapsed="1" x14ac:dyDescent="0.3">
      <c r="A106" s="10" t="s">
        <v>75</v>
      </c>
      <c r="B106" s="50">
        <f t="shared" si="25"/>
        <v>1500</v>
      </c>
      <c r="C106" s="50">
        <f>SUMIF(Hovedlaget!B:B,'Samlet budsjett'!A106,Hovedlaget!AB:AB)</f>
        <v>0</v>
      </c>
      <c r="D106" s="50">
        <f>SUMIF(Allidrett!B:B,'Samlet budsjett'!A106,Allidrett!AB:AB)</f>
        <v>0</v>
      </c>
      <c r="E106" s="50">
        <f>SUMIF(Bueskyting!B:B,'Samlet budsjett'!A106,Bueskyting!AB:AB)</f>
        <v>0</v>
      </c>
      <c r="F106" s="50">
        <f>SUMIF(Tennis!B:B,'Samlet budsjett'!A106,Tennis!AB:AB)</f>
        <v>0</v>
      </c>
      <c r="G106" s="50">
        <f>SUMIF(Svømming!B:B,'Samlet budsjett'!A106,Svømming!AB:AB)</f>
        <v>1500</v>
      </c>
      <c r="H106" s="50">
        <f>SUMIF(Fotball!B:B,'Samlet budsjett'!A106,Fotball!AB:AB)</f>
        <v>0</v>
      </c>
      <c r="I106" s="50">
        <f>SUMIF(Håndball!B:B,'Samlet budsjett'!A106,Håndball!AB:AB)</f>
        <v>0</v>
      </c>
      <c r="J106" s="50">
        <f>SUMIF(Futsal!B:B,'Samlet budsjett'!A:A,Futsal!AB:AB)</f>
        <v>0</v>
      </c>
      <c r="K106" s="50">
        <f>SUMIF('Tur og Friluftsliv'!B:B,'Samlet budsjett'!A106,'Tur og Friluftsliv'!AB:AB)</f>
        <v>0</v>
      </c>
      <c r="L106" s="50">
        <f>SUMIF('E-sport'!B:B,'Samlet budsjett'!A106,'E-sport'!AB:AB)</f>
        <v>0</v>
      </c>
      <c r="M106" s="50">
        <f>SUMIF(Prosjekt!B:B,'Samlet budsjett'!A106,Prosjekt!G:G)</f>
        <v>0</v>
      </c>
    </row>
    <row r="107" spans="1:13" hidden="1" outlineLevel="1" collapsed="1" x14ac:dyDescent="0.3">
      <c r="A107" s="10" t="s">
        <v>76</v>
      </c>
      <c r="B107" s="50">
        <f t="shared" si="25"/>
        <v>175500</v>
      </c>
      <c r="C107" s="50">
        <f>SUMIF(Hovedlaget!B:B,'Samlet budsjett'!A107,Hovedlaget!AB:AB)</f>
        <v>0</v>
      </c>
      <c r="D107" s="50">
        <f>SUMIF(Allidrett!B:B,'Samlet budsjett'!A107,Allidrett!AB:AB)</f>
        <v>0</v>
      </c>
      <c r="E107" s="50">
        <f>SUMIF(Bueskyting!B:B,'Samlet budsjett'!A107,Bueskyting!AB:AB)</f>
        <v>30000</v>
      </c>
      <c r="F107" s="50">
        <f>SUMIF(Tennis!B:B,'Samlet budsjett'!A107,Tennis!AB:AB)</f>
        <v>6300</v>
      </c>
      <c r="G107" s="50">
        <f>SUMIF(Svømming!B:B,'Samlet budsjett'!A107,Svømming!AB:AB)</f>
        <v>0</v>
      </c>
      <c r="H107" s="50">
        <f>SUMIF(Fotball!B:B,'Samlet budsjett'!A107,Fotball!AB:AB)</f>
        <v>15000</v>
      </c>
      <c r="I107" s="50">
        <f>SUMIF(Håndball!B:B,'Samlet budsjett'!A107,Håndball!AB:AB)</f>
        <v>120000</v>
      </c>
      <c r="J107" s="50">
        <f>SUMIF(Futsal!B:B,'Samlet budsjett'!A:A,Futsal!AB:AB)</f>
        <v>4200</v>
      </c>
      <c r="K107" s="50">
        <f>SUMIF('Tur og Friluftsliv'!B:B,'Samlet budsjett'!A107,'Tur og Friluftsliv'!AB:AB)</f>
        <v>0</v>
      </c>
      <c r="L107" s="50">
        <f>SUMIF('E-sport'!B:B,'Samlet budsjett'!A107,'E-sport'!AB:AB)</f>
        <v>0</v>
      </c>
      <c r="M107" s="50">
        <f>SUMIF(Prosjekt!B:B,'Samlet budsjett'!A107,Prosjekt!G:G)</f>
        <v>0</v>
      </c>
    </row>
    <row r="108" spans="1:13" hidden="1" outlineLevel="1" x14ac:dyDescent="0.3">
      <c r="A108" s="10" t="s">
        <v>201</v>
      </c>
      <c r="B108" s="50">
        <f t="shared" si="25"/>
        <v>438780</v>
      </c>
      <c r="C108" s="50">
        <f>SUMIF(Hovedlaget!B:B,'Samlet budsjett'!A108,Hovedlaget!AB:AB)</f>
        <v>0</v>
      </c>
      <c r="D108" s="50">
        <f>SUMIF(Allidrett!B:B,'Samlet budsjett'!A108,Allidrett!AB:AB)</f>
        <v>0</v>
      </c>
      <c r="E108" s="50">
        <f>SUMIF(Bueskyting!B:B,'Samlet budsjett'!A108,Bueskyting!AB:AB)</f>
        <v>0</v>
      </c>
      <c r="F108" s="50">
        <f>SUMIF(Tennis!B:B,'Samlet budsjett'!A108,Tennis!AB:AB)</f>
        <v>18780</v>
      </c>
      <c r="G108" s="50">
        <f>SUMIF(Svømming!B:B,'Samlet budsjett'!A108,Svømming!AB:AB)</f>
        <v>0</v>
      </c>
      <c r="H108" s="50">
        <f>SUMIF(Fotball!B:B,'Samlet budsjett'!A108,Fotball!AB:AB)</f>
        <v>420000</v>
      </c>
      <c r="I108" s="50">
        <f>SUMIF(Håndball!B:B,'Samlet budsjett'!A108,Håndball!AB:AB)</f>
        <v>0</v>
      </c>
      <c r="J108" s="50">
        <f>SUMIF(Futsal!B:B,'Samlet budsjett'!A:A,Futsal!AB:AB)</f>
        <v>0</v>
      </c>
      <c r="K108" s="50">
        <f>SUMIF('Tur og Friluftsliv'!B:B,'Samlet budsjett'!A108,'Tur og Friluftsliv'!AB:AB)</f>
        <v>0</v>
      </c>
      <c r="L108" s="50">
        <f>SUMIF('E-sport'!B:B,'Samlet budsjett'!A108,'E-sport'!AB:AB)</f>
        <v>0</v>
      </c>
      <c r="M108" s="50">
        <f>SUMIF(Prosjekt!B:B,'Samlet budsjett'!A108,Prosjekt!G:G)</f>
        <v>0</v>
      </c>
    </row>
    <row r="109" spans="1:13" hidden="1" outlineLevel="1" collapsed="1" x14ac:dyDescent="0.3">
      <c r="A109" s="10" t="s">
        <v>77</v>
      </c>
      <c r="B109" s="50">
        <f t="shared" si="25"/>
        <v>50400</v>
      </c>
      <c r="C109" s="50">
        <f>SUMIF(Hovedlaget!B:B,'Samlet budsjett'!A109,Hovedlaget!AB:AB)</f>
        <v>50400</v>
      </c>
      <c r="D109" s="50">
        <f>SUMIF(Allidrett!B:B,'Samlet budsjett'!A109,Allidrett!AB:AB)</f>
        <v>0</v>
      </c>
      <c r="E109" s="50">
        <f>SUMIF(Bueskyting!B:B,'Samlet budsjett'!A109,Bueskyting!AB:AB)</f>
        <v>0</v>
      </c>
      <c r="F109" s="50">
        <f>SUMIF(Tennis!B:B,'Samlet budsjett'!A109,Tennis!AB:AB)</f>
        <v>0</v>
      </c>
      <c r="G109" s="50">
        <f>SUMIF(Svømming!B:B,'Samlet budsjett'!A109,Svømming!AB:AB)</f>
        <v>0</v>
      </c>
      <c r="H109" s="50">
        <f>SUMIF(Fotball!B:B,'Samlet budsjett'!A109,Fotball!AB:AB)</f>
        <v>0</v>
      </c>
      <c r="I109" s="50">
        <f>SUMIF(Håndball!B:B,'Samlet budsjett'!A109,Håndball!AB:AB)</f>
        <v>0</v>
      </c>
      <c r="J109" s="50">
        <f>SUMIF(Futsal!B:B,'Samlet budsjett'!A:A,Futsal!AB:AB)</f>
        <v>0</v>
      </c>
      <c r="K109" s="50">
        <f>SUMIF('Tur og Friluftsliv'!B:B,'Samlet budsjett'!A109,'Tur og Friluftsliv'!AB:AB)</f>
        <v>0</v>
      </c>
      <c r="L109" s="50">
        <f>SUMIF('E-sport'!B:B,'Samlet budsjett'!A109,'E-sport'!AB:AB)</f>
        <v>0</v>
      </c>
      <c r="M109" s="50">
        <f>SUMIF(Prosjekt!B:B,'Samlet budsjett'!A109,Prosjekt!G:G)</f>
        <v>0</v>
      </c>
    </row>
    <row r="110" spans="1:13" hidden="1" outlineLevel="1" collapsed="1" x14ac:dyDescent="0.3">
      <c r="A110" s="10" t="s">
        <v>78</v>
      </c>
      <c r="B110" s="50">
        <f t="shared" si="25"/>
        <v>480000</v>
      </c>
      <c r="C110" s="50">
        <f>SUMIF(Hovedlaget!B:B,'Samlet budsjett'!A110,Hovedlaget!AB:AB)</f>
        <v>480000</v>
      </c>
      <c r="D110" s="50">
        <f>SUMIF(Allidrett!B:B,'Samlet budsjett'!A110,Allidrett!AB:AB)</f>
        <v>0</v>
      </c>
      <c r="E110" s="50">
        <f>SUMIF(Bueskyting!B:B,'Samlet budsjett'!A110,Bueskyting!AB:AB)</f>
        <v>0</v>
      </c>
      <c r="F110" s="50">
        <f>SUMIF(Tennis!B:B,'Samlet budsjett'!A110,Tennis!AB:AB)</f>
        <v>0</v>
      </c>
      <c r="G110" s="50">
        <f>SUMIF(Svømming!B:B,'Samlet budsjett'!A110,Svømming!AB:AB)</f>
        <v>0</v>
      </c>
      <c r="H110" s="50">
        <f>SUMIF(Fotball!B:B,'Samlet budsjett'!A110,Fotball!AB:AB)</f>
        <v>0</v>
      </c>
      <c r="I110" s="50">
        <f>SUMIF(Håndball!B:B,'Samlet budsjett'!A110,Håndball!AB:AB)</f>
        <v>0</v>
      </c>
      <c r="J110" s="50">
        <f>SUMIF(Futsal!B:B,'Samlet budsjett'!A:A,Futsal!AB:AB)</f>
        <v>0</v>
      </c>
      <c r="K110" s="50">
        <f>SUMIF('Tur og Friluftsliv'!B:B,'Samlet budsjett'!A110,'Tur og Friluftsliv'!AB:AB)</f>
        <v>0</v>
      </c>
      <c r="L110" s="50">
        <f>SUMIF('E-sport'!B:B,'Samlet budsjett'!A110,'E-sport'!AB:AB)</f>
        <v>0</v>
      </c>
      <c r="M110" s="50">
        <f>SUMIF(Prosjekt!B:B,'Samlet budsjett'!A110,Prosjekt!G:G)</f>
        <v>0</v>
      </c>
    </row>
    <row r="111" spans="1:13" hidden="1" outlineLevel="1" collapsed="1" x14ac:dyDescent="0.3">
      <c r="A111" s="10" t="s">
        <v>79</v>
      </c>
      <c r="B111" s="50">
        <f t="shared" si="25"/>
        <v>360000</v>
      </c>
      <c r="C111" s="50">
        <f>SUMIF(Hovedlaget!B:B,'Samlet budsjett'!A111,Hovedlaget!AB:AB)</f>
        <v>360000</v>
      </c>
      <c r="D111" s="50">
        <f>SUMIF(Allidrett!B:B,'Samlet budsjett'!A111,Allidrett!AB:AB)</f>
        <v>0</v>
      </c>
      <c r="E111" s="50">
        <f>SUMIF(Bueskyting!B:B,'Samlet budsjett'!A111,Bueskyting!AB:AB)</f>
        <v>0</v>
      </c>
      <c r="F111" s="50">
        <f>SUMIF(Tennis!B:B,'Samlet budsjett'!A111,Tennis!AB:AB)</f>
        <v>0</v>
      </c>
      <c r="G111" s="50">
        <f>SUMIF(Svømming!B:B,'Samlet budsjett'!A111,Svømming!AB:AB)</f>
        <v>0</v>
      </c>
      <c r="H111" s="50">
        <f>SUMIF(Fotball!B:B,'Samlet budsjett'!A111,Fotball!AB:AB)</f>
        <v>0</v>
      </c>
      <c r="I111" s="50">
        <f>SUMIF(Håndball!B:B,'Samlet budsjett'!A111,Håndball!AB:AB)</f>
        <v>0</v>
      </c>
      <c r="J111" s="50">
        <f>SUMIF(Futsal!B:B,'Samlet budsjett'!A:A,Futsal!AB:AB)</f>
        <v>0</v>
      </c>
      <c r="K111" s="50">
        <f>SUMIF('Tur og Friluftsliv'!B:B,'Samlet budsjett'!A111,'Tur og Friluftsliv'!AB:AB)</f>
        <v>0</v>
      </c>
      <c r="L111" s="50">
        <f>SUMIF('E-sport'!B:B,'Samlet budsjett'!A111,'E-sport'!AB:AB)</f>
        <v>0</v>
      </c>
      <c r="M111" s="50">
        <f>SUMIF(Prosjekt!B:B,'Samlet budsjett'!A111,Prosjekt!G:G)</f>
        <v>0</v>
      </c>
    </row>
    <row r="112" spans="1:13" hidden="1" outlineLevel="1" collapsed="1" x14ac:dyDescent="0.3">
      <c r="A112" s="10" t="s">
        <v>80</v>
      </c>
      <c r="B112" s="50">
        <f t="shared" si="25"/>
        <v>20500</v>
      </c>
      <c r="C112" s="50">
        <f>SUMIF(Hovedlaget!B:B,'Samlet budsjett'!A112,Hovedlaget!AB:AB)</f>
        <v>20500</v>
      </c>
      <c r="D112" s="50">
        <f>SUMIF(Allidrett!B:B,'Samlet budsjett'!A112,Allidrett!AB:AB)</f>
        <v>0</v>
      </c>
      <c r="E112" s="50">
        <f>SUMIF(Bueskyting!B:B,'Samlet budsjett'!A112,Bueskyting!AB:AB)</f>
        <v>0</v>
      </c>
      <c r="F112" s="50">
        <f>SUMIF(Tennis!B:B,'Samlet budsjett'!A112,Tennis!AB:AB)</f>
        <v>0</v>
      </c>
      <c r="G112" s="50">
        <f>SUMIF(Svømming!B:B,'Samlet budsjett'!A112,Svømming!AB:AB)</f>
        <v>0</v>
      </c>
      <c r="H112" s="50">
        <f>SUMIF(Fotball!B:B,'Samlet budsjett'!A112,Fotball!AB:AB)</f>
        <v>0</v>
      </c>
      <c r="I112" s="50">
        <f>SUMIF(Håndball!B:B,'Samlet budsjett'!A112,Håndball!AB:AB)</f>
        <v>0</v>
      </c>
      <c r="J112" s="50">
        <f>SUMIF(Futsal!B:B,'Samlet budsjett'!A:A,Futsal!AB:AB)</f>
        <v>0</v>
      </c>
      <c r="K112" s="50">
        <f>SUMIF('Tur og Friluftsliv'!B:B,'Samlet budsjett'!A112,'Tur og Friluftsliv'!AB:AB)</f>
        <v>0</v>
      </c>
      <c r="L112" s="50">
        <f>SUMIF('E-sport'!B:B,'Samlet budsjett'!A112,'E-sport'!AB:AB)</f>
        <v>0</v>
      </c>
      <c r="M112" s="50">
        <f>SUMIF(Prosjekt!B:B,'Samlet budsjett'!A112,Prosjekt!G:G)</f>
        <v>0</v>
      </c>
    </row>
    <row r="113" spans="1:13" hidden="1" outlineLevel="1" collapsed="1" x14ac:dyDescent="0.3">
      <c r="A113" s="10" t="s">
        <v>81</v>
      </c>
      <c r="B113" s="50">
        <f t="shared" si="25"/>
        <v>0</v>
      </c>
      <c r="C113" s="50">
        <f>SUMIF(Hovedlaget!B:B,'Samlet budsjett'!A113,Hovedlaget!AB:AB)</f>
        <v>0</v>
      </c>
      <c r="D113" s="50">
        <f>SUMIF(Allidrett!B:B,'Samlet budsjett'!A113,Allidrett!AB:AB)</f>
        <v>0</v>
      </c>
      <c r="E113" s="50">
        <f>SUMIF(Bueskyting!B:B,'Samlet budsjett'!A113,Bueskyting!AB:AB)</f>
        <v>0</v>
      </c>
      <c r="F113" s="50">
        <f>SUMIF(Tennis!B:B,'Samlet budsjett'!A113,Tennis!AB:AB)</f>
        <v>0</v>
      </c>
      <c r="G113" s="50">
        <f>SUMIF(Svømming!B:B,'Samlet budsjett'!A113,Svømming!AB:AB)</f>
        <v>0</v>
      </c>
      <c r="H113" s="50">
        <f>SUMIF(Fotball!B:B,'Samlet budsjett'!A113,Fotball!AB:AB)</f>
        <v>0</v>
      </c>
      <c r="I113" s="50">
        <f>SUMIF(Håndball!B:B,'Samlet budsjett'!A113,Håndball!AB:AB)</f>
        <v>0</v>
      </c>
      <c r="J113" s="50">
        <f>SUMIF(Futsal!B:B,'Samlet budsjett'!A:A,Futsal!AB:AB)</f>
        <v>0</v>
      </c>
      <c r="K113" s="50">
        <f>SUMIF('Tur og Friluftsliv'!B:B,'Samlet budsjett'!A113,'Tur og Friluftsliv'!AB:AB)</f>
        <v>0</v>
      </c>
      <c r="L113" s="50">
        <f>SUMIF('E-sport'!B:B,'Samlet budsjett'!A113,'E-sport'!AB:AB)</f>
        <v>0</v>
      </c>
      <c r="M113" s="50">
        <f>SUMIF(Prosjekt!B:B,'Samlet budsjett'!A113,Prosjekt!G:G)</f>
        <v>0</v>
      </c>
    </row>
    <row r="114" spans="1:13" hidden="1" outlineLevel="1" collapsed="1" x14ac:dyDescent="0.3">
      <c r="A114" s="10" t="s">
        <v>82</v>
      </c>
      <c r="B114" s="50">
        <f t="shared" si="25"/>
        <v>154800</v>
      </c>
      <c r="C114" s="50">
        <f>SUMIF(Hovedlaget!B:B,'Samlet budsjett'!A114,Hovedlaget!AB:AB)</f>
        <v>150000</v>
      </c>
      <c r="D114" s="50">
        <f>SUMIF(Allidrett!B:B,'Samlet budsjett'!A114,Allidrett!AB:AB)</f>
        <v>0</v>
      </c>
      <c r="E114" s="50">
        <f>SUMIF(Bueskyting!B:B,'Samlet budsjett'!A114,Bueskyting!AB:AB)</f>
        <v>0</v>
      </c>
      <c r="F114" s="50">
        <f>SUMIF(Tennis!B:B,'Samlet budsjett'!A114,Tennis!AB:AB)</f>
        <v>0</v>
      </c>
      <c r="G114" s="50">
        <f>SUMIF(Svømming!B:B,'Samlet budsjett'!A114,Svømming!AB:AB)</f>
        <v>300</v>
      </c>
      <c r="H114" s="50">
        <f>SUMIF(Fotball!B:B,'Samlet budsjett'!A114,Fotball!AB:AB)</f>
        <v>0</v>
      </c>
      <c r="I114" s="50">
        <f>SUMIF(Håndball!B:B,'Samlet budsjett'!A114,Håndball!AB:AB)</f>
        <v>0</v>
      </c>
      <c r="J114" s="50">
        <f>SUMIF(Futsal!B:B,'Samlet budsjett'!A:A,Futsal!AB:AB)</f>
        <v>4500</v>
      </c>
      <c r="K114" s="50">
        <f>SUMIF('Tur og Friluftsliv'!B:B,'Samlet budsjett'!A114,'Tur og Friluftsliv'!AB:AB)</f>
        <v>0</v>
      </c>
      <c r="L114" s="50">
        <f>SUMIF('E-sport'!B:B,'Samlet budsjett'!A114,'E-sport'!AB:AB)</f>
        <v>0</v>
      </c>
      <c r="M114" s="50">
        <f>SUMIF(Prosjekt!B:B,'Samlet budsjett'!A114,Prosjekt!G:G)</f>
        <v>0</v>
      </c>
    </row>
    <row r="115" spans="1:13" hidden="1" outlineLevel="1" collapsed="1" x14ac:dyDescent="0.3">
      <c r="A115" s="10" t="s">
        <v>83</v>
      </c>
      <c r="B115" s="50">
        <f t="shared" si="25"/>
        <v>0</v>
      </c>
      <c r="C115" s="50">
        <f>SUMIF(Hovedlaget!B:B,'Samlet budsjett'!A115,Hovedlaget!AB:AB)</f>
        <v>0</v>
      </c>
      <c r="D115" s="50">
        <f>SUMIF(Allidrett!B:B,'Samlet budsjett'!A115,Allidrett!AB:AB)</f>
        <v>0</v>
      </c>
      <c r="E115" s="50">
        <f>SUMIF(Bueskyting!B:B,'Samlet budsjett'!A115,Bueskyting!AB:AB)</f>
        <v>0</v>
      </c>
      <c r="F115" s="50">
        <f>SUMIF(Tennis!B:B,'Samlet budsjett'!A115,Tennis!AB:AB)</f>
        <v>0</v>
      </c>
      <c r="G115" s="50">
        <f>SUMIF(Svømming!B:B,'Samlet budsjett'!A115,Svømming!AB:AB)</f>
        <v>0</v>
      </c>
      <c r="H115" s="50">
        <f>SUMIF(Fotball!B:B,'Samlet budsjett'!A115,Fotball!AB:AB)</f>
        <v>0</v>
      </c>
      <c r="I115" s="50">
        <f>SUMIF(Håndball!B:B,'Samlet budsjett'!A115,Håndball!AB:AB)</f>
        <v>0</v>
      </c>
      <c r="J115" s="50">
        <f>SUMIF(Futsal!B:B,'Samlet budsjett'!A:A,Futsal!AB:AB)</f>
        <v>0</v>
      </c>
      <c r="K115" s="50">
        <f>SUMIF('Tur og Friluftsliv'!B:B,'Samlet budsjett'!A115,'Tur og Friluftsliv'!AB:AB)</f>
        <v>0</v>
      </c>
      <c r="L115" s="50">
        <f>SUMIF('E-sport'!B:B,'Samlet budsjett'!A115,'E-sport'!AB:AB)</f>
        <v>0</v>
      </c>
      <c r="M115" s="50">
        <f>SUMIF(Prosjekt!B:B,'Samlet budsjett'!A115,Prosjekt!G:G)</f>
        <v>0</v>
      </c>
    </row>
    <row r="116" spans="1:13" hidden="1" outlineLevel="1" collapsed="1" x14ac:dyDescent="0.3">
      <c r="A116" s="10" t="s">
        <v>84</v>
      </c>
      <c r="B116" s="50">
        <f t="shared" si="25"/>
        <v>0</v>
      </c>
      <c r="C116" s="50">
        <f>SUMIF(Hovedlaget!B:B,'Samlet budsjett'!A116,Hovedlaget!AB:AB)</f>
        <v>0</v>
      </c>
      <c r="D116" s="50">
        <f>SUMIF(Allidrett!B:B,'Samlet budsjett'!A116,Allidrett!AB:AB)</f>
        <v>0</v>
      </c>
      <c r="E116" s="50">
        <f>SUMIF(Bueskyting!B:B,'Samlet budsjett'!A116,Bueskyting!AB:AB)</f>
        <v>0</v>
      </c>
      <c r="F116" s="50">
        <f>SUMIF(Tennis!B:B,'Samlet budsjett'!A116,Tennis!AB:AB)</f>
        <v>0</v>
      </c>
      <c r="G116" s="50">
        <f>SUMIF(Svømming!B:B,'Samlet budsjett'!A116,Svømming!AB:AB)</f>
        <v>0</v>
      </c>
      <c r="H116" s="50">
        <f>SUMIF(Fotball!B:B,'Samlet budsjett'!A116,Fotball!AB:AB)</f>
        <v>0</v>
      </c>
      <c r="I116" s="50">
        <f>SUMIF(Håndball!B:B,'Samlet budsjett'!A116,Håndball!AB:AB)</f>
        <v>0</v>
      </c>
      <c r="J116" s="50">
        <f>SUMIF(Futsal!B:B,'Samlet budsjett'!A:A,Futsal!AB:AB)</f>
        <v>0</v>
      </c>
      <c r="K116" s="50">
        <f>SUMIF('Tur og Friluftsliv'!B:B,'Samlet budsjett'!A116,'Tur og Friluftsliv'!AB:AB)</f>
        <v>0</v>
      </c>
      <c r="L116" s="50">
        <f>SUMIF('E-sport'!B:B,'Samlet budsjett'!A116,'E-sport'!AB:AB)</f>
        <v>0</v>
      </c>
      <c r="M116" s="50">
        <f>SUMIF(Prosjekt!B:B,'Samlet budsjett'!A116,Prosjekt!G:G)</f>
        <v>0</v>
      </c>
    </row>
    <row r="117" spans="1:13" hidden="1" outlineLevel="1" collapsed="1" x14ac:dyDescent="0.3">
      <c r="A117" s="10" t="s">
        <v>85</v>
      </c>
      <c r="B117" s="50">
        <f t="shared" ref="B117:B148" si="29">SUM(C117:M117)</f>
        <v>24000</v>
      </c>
      <c r="C117" s="50">
        <f>SUMIF(Hovedlaget!B:B,'Samlet budsjett'!A117,Hovedlaget!AB:AB)</f>
        <v>24000</v>
      </c>
      <c r="D117" s="50">
        <f>SUMIF(Allidrett!B:B,'Samlet budsjett'!A117,Allidrett!AB:AB)</f>
        <v>0</v>
      </c>
      <c r="E117" s="50">
        <f>SUMIF(Bueskyting!B:B,'Samlet budsjett'!A117,Bueskyting!AB:AB)</f>
        <v>0</v>
      </c>
      <c r="F117" s="50">
        <f>SUMIF(Tennis!B:B,'Samlet budsjett'!A117,Tennis!AB:AB)</f>
        <v>0</v>
      </c>
      <c r="G117" s="50">
        <f>SUMIF(Svømming!B:B,'Samlet budsjett'!A117,Svømming!AB:AB)</f>
        <v>0</v>
      </c>
      <c r="H117" s="50">
        <f>SUMIF(Fotball!B:B,'Samlet budsjett'!A117,Fotball!AB:AB)</f>
        <v>0</v>
      </c>
      <c r="I117" s="50">
        <f>SUMIF(Håndball!B:B,'Samlet budsjett'!A117,Håndball!AB:AB)</f>
        <v>0</v>
      </c>
      <c r="J117" s="50">
        <f>SUMIF(Futsal!B:B,'Samlet budsjett'!A:A,Futsal!AB:AB)</f>
        <v>0</v>
      </c>
      <c r="K117" s="50">
        <f>SUMIF('Tur og Friluftsliv'!B:B,'Samlet budsjett'!A117,'Tur og Friluftsliv'!AB:AB)</f>
        <v>0</v>
      </c>
      <c r="L117" s="50">
        <f>SUMIF('E-sport'!B:B,'Samlet budsjett'!A117,'E-sport'!AB:AB)</f>
        <v>0</v>
      </c>
      <c r="M117" s="50">
        <f>SUMIF(Prosjekt!B:B,'Samlet budsjett'!A117,Prosjekt!G:G)</f>
        <v>0</v>
      </c>
    </row>
    <row r="118" spans="1:13" hidden="1" outlineLevel="1" collapsed="1" x14ac:dyDescent="0.3">
      <c r="A118" s="10" t="s">
        <v>86</v>
      </c>
      <c r="B118" s="50">
        <f t="shared" si="29"/>
        <v>0</v>
      </c>
      <c r="C118" s="50">
        <f>SUMIF(Hovedlaget!B:B,'Samlet budsjett'!A118,Hovedlaget!AB:AB)</f>
        <v>0</v>
      </c>
      <c r="D118" s="50">
        <f>SUMIF(Allidrett!B:B,'Samlet budsjett'!A118,Allidrett!AB:AB)</f>
        <v>0</v>
      </c>
      <c r="E118" s="50">
        <f>SUMIF(Bueskyting!B:B,'Samlet budsjett'!A118,Bueskyting!AB:AB)</f>
        <v>0</v>
      </c>
      <c r="F118" s="50">
        <f>SUMIF(Tennis!B:B,'Samlet budsjett'!A118,Tennis!AB:AB)</f>
        <v>0</v>
      </c>
      <c r="G118" s="50">
        <f>SUMIF(Svømming!B:B,'Samlet budsjett'!A118,Svømming!AB:AB)</f>
        <v>0</v>
      </c>
      <c r="H118" s="50">
        <f>SUMIF(Fotball!B:B,'Samlet budsjett'!A118,Fotball!AB:AB)</f>
        <v>0</v>
      </c>
      <c r="I118" s="50">
        <f>SUMIF(Håndball!B:B,'Samlet budsjett'!A118,Håndball!AB:AB)</f>
        <v>0</v>
      </c>
      <c r="J118" s="50">
        <f>SUMIF(Futsal!B:B,'Samlet budsjett'!A:A,Futsal!AB:AB)</f>
        <v>0</v>
      </c>
      <c r="K118" s="50">
        <f>SUMIF('Tur og Friluftsliv'!B:B,'Samlet budsjett'!A118,'Tur og Friluftsliv'!AB:AB)</f>
        <v>0</v>
      </c>
      <c r="L118" s="50">
        <f>SUMIF('E-sport'!B:B,'Samlet budsjett'!A118,'E-sport'!AB:AB)</f>
        <v>0</v>
      </c>
      <c r="M118" s="50">
        <f>SUMIF(Prosjekt!B:B,'Samlet budsjett'!A118,Prosjekt!G:G)</f>
        <v>0</v>
      </c>
    </row>
    <row r="119" spans="1:13" hidden="1" outlineLevel="1" collapsed="1" x14ac:dyDescent="0.3">
      <c r="A119" s="10" t="s">
        <v>87</v>
      </c>
      <c r="B119" s="50">
        <f t="shared" si="29"/>
        <v>15000</v>
      </c>
      <c r="C119" s="50">
        <f>SUMIF(Hovedlaget!B:B,'Samlet budsjett'!A119,Hovedlaget!AB:AB)</f>
        <v>15000</v>
      </c>
      <c r="D119" s="50">
        <f>SUMIF(Allidrett!B:B,'Samlet budsjett'!A119,Allidrett!AB:AB)</f>
        <v>0</v>
      </c>
      <c r="E119" s="50">
        <f>SUMIF(Bueskyting!B:B,'Samlet budsjett'!A119,Bueskyting!AB:AB)</f>
        <v>0</v>
      </c>
      <c r="F119" s="50">
        <f>SUMIF(Tennis!B:B,'Samlet budsjett'!A119,Tennis!AB:AB)</f>
        <v>0</v>
      </c>
      <c r="G119" s="50">
        <f>SUMIF(Svømming!B:B,'Samlet budsjett'!A119,Svømming!AB:AB)</f>
        <v>0</v>
      </c>
      <c r="H119" s="50">
        <f>SUMIF(Fotball!B:B,'Samlet budsjett'!A119,Fotball!AB:AB)</f>
        <v>0</v>
      </c>
      <c r="I119" s="50">
        <f>SUMIF(Håndball!B:B,'Samlet budsjett'!A119,Håndball!AB:AB)</f>
        <v>0</v>
      </c>
      <c r="J119" s="50">
        <f>SUMIF(Futsal!B:B,'Samlet budsjett'!A:A,Futsal!AB:AB)</f>
        <v>0</v>
      </c>
      <c r="K119" s="50">
        <f>SUMIF('Tur og Friluftsliv'!B:B,'Samlet budsjett'!A119,'Tur og Friluftsliv'!AB:AB)</f>
        <v>0</v>
      </c>
      <c r="L119" s="50">
        <f>SUMIF('E-sport'!B:B,'Samlet budsjett'!A119,'E-sport'!AB:AB)</f>
        <v>0</v>
      </c>
      <c r="M119" s="50">
        <f>SUMIF(Prosjekt!B:B,'Samlet budsjett'!A119,Prosjekt!G:G)</f>
        <v>0</v>
      </c>
    </row>
    <row r="120" spans="1:13" hidden="1" outlineLevel="1" collapsed="1" x14ac:dyDescent="0.3">
      <c r="A120" s="10" t="s">
        <v>88</v>
      </c>
      <c r="B120" s="50">
        <f t="shared" si="29"/>
        <v>64300</v>
      </c>
      <c r="C120" s="50">
        <f>SUMIF(Hovedlaget!B:B,'Samlet budsjett'!A120,Hovedlaget!AB:AB)</f>
        <v>50000</v>
      </c>
      <c r="D120" s="50">
        <f>SUMIF(Allidrett!B:B,'Samlet budsjett'!A120,Allidrett!AB:AB)</f>
        <v>0</v>
      </c>
      <c r="E120" s="50">
        <f>SUMIF(Bueskyting!B:B,'Samlet budsjett'!A120,Bueskyting!AB:AB)</f>
        <v>0</v>
      </c>
      <c r="F120" s="50">
        <f>SUMIF(Tennis!B:B,'Samlet budsjett'!A120,Tennis!AB:AB)</f>
        <v>3600</v>
      </c>
      <c r="G120" s="50">
        <f>SUMIF(Svømming!B:B,'Samlet budsjett'!A120,Svømming!AB:AB)</f>
        <v>700</v>
      </c>
      <c r="H120" s="50">
        <f>SUMIF(Fotball!B:B,'Samlet budsjett'!A120,Fotball!AB:AB)</f>
        <v>0</v>
      </c>
      <c r="I120" s="50">
        <f>SUMIF(Håndball!B:B,'Samlet budsjett'!A120,Håndball!AB:AB)</f>
        <v>0</v>
      </c>
      <c r="J120" s="50">
        <f>SUMIF(Futsal!B:B,'Samlet budsjett'!A:A,Futsal!AB:AB)</f>
        <v>0</v>
      </c>
      <c r="K120" s="50">
        <f>SUMIF('Tur og Friluftsliv'!B:B,'Samlet budsjett'!A120,'Tur og Friluftsliv'!AB:AB)</f>
        <v>10000</v>
      </c>
      <c r="L120" s="50">
        <f>SUMIF('E-sport'!B:B,'Samlet budsjett'!A120,'E-sport'!AB:AB)</f>
        <v>0</v>
      </c>
      <c r="M120" s="50">
        <f>SUMIF(Prosjekt!B:B,'Samlet budsjett'!A120,Prosjekt!G:G)</f>
        <v>0</v>
      </c>
    </row>
    <row r="121" spans="1:13" hidden="1" outlineLevel="1" collapsed="1" x14ac:dyDescent="0.3">
      <c r="A121" s="10" t="s">
        <v>89</v>
      </c>
      <c r="B121" s="50">
        <f t="shared" si="29"/>
        <v>10000</v>
      </c>
      <c r="C121" s="50">
        <f>SUMIF(Hovedlaget!B:B,'Samlet budsjett'!A121,Hovedlaget!AB:AB)</f>
        <v>10000</v>
      </c>
      <c r="D121" s="50">
        <f>SUMIF(Allidrett!B:B,'Samlet budsjett'!A121,Allidrett!AB:AB)</f>
        <v>0</v>
      </c>
      <c r="E121" s="50">
        <f>SUMIF(Bueskyting!B:B,'Samlet budsjett'!A121,Bueskyting!AB:AB)</f>
        <v>0</v>
      </c>
      <c r="F121" s="50">
        <f>SUMIF(Tennis!B:B,'Samlet budsjett'!A121,Tennis!AB:AB)</f>
        <v>0</v>
      </c>
      <c r="G121" s="50">
        <f>SUMIF(Svømming!B:B,'Samlet budsjett'!A121,Svømming!AB:AB)</f>
        <v>0</v>
      </c>
      <c r="H121" s="50">
        <f>SUMIF(Fotball!B:B,'Samlet budsjett'!A121,Fotball!AB:AB)</f>
        <v>0</v>
      </c>
      <c r="I121" s="50">
        <f>SUMIF(Håndball!B:B,'Samlet budsjett'!A121,Håndball!AB:AB)</f>
        <v>0</v>
      </c>
      <c r="J121" s="50">
        <f>SUMIF(Futsal!B:B,'Samlet budsjett'!A:A,Futsal!AB:AB)</f>
        <v>0</v>
      </c>
      <c r="K121" s="50">
        <f>SUMIF('Tur og Friluftsliv'!B:B,'Samlet budsjett'!A121,'Tur og Friluftsliv'!AB:AB)</f>
        <v>0</v>
      </c>
      <c r="L121" s="50">
        <f>SUMIF('E-sport'!B:B,'Samlet budsjett'!A121,'E-sport'!AB:AB)</f>
        <v>0</v>
      </c>
      <c r="M121" s="50">
        <f>SUMIF(Prosjekt!B:B,'Samlet budsjett'!A121,Prosjekt!G:G)</f>
        <v>0</v>
      </c>
    </row>
    <row r="122" spans="1:13" hidden="1" outlineLevel="1" collapsed="1" x14ac:dyDescent="0.3">
      <c r="A122" s="10" t="s">
        <v>90</v>
      </c>
      <c r="B122" s="50">
        <f t="shared" si="29"/>
        <v>30000</v>
      </c>
      <c r="C122" s="50">
        <f>SUMIF(Hovedlaget!B:B,'Samlet budsjett'!A122,Hovedlaget!AB:AB)</f>
        <v>25000</v>
      </c>
      <c r="D122" s="50">
        <f>SUMIF(Allidrett!B:B,'Samlet budsjett'!A122,Allidrett!AB:AB)</f>
        <v>500</v>
      </c>
      <c r="E122" s="50">
        <f>SUMIF(Bueskyting!B:B,'Samlet budsjett'!A122,Bueskyting!AB:AB)</f>
        <v>4000</v>
      </c>
      <c r="F122" s="50">
        <f>SUMIF(Tennis!B:B,'Samlet budsjett'!A122,Tennis!AB:AB)</f>
        <v>0</v>
      </c>
      <c r="G122" s="50">
        <f>SUMIF(Svømming!B:B,'Samlet budsjett'!A122,Svømming!AB:AB)</f>
        <v>0</v>
      </c>
      <c r="H122" s="50">
        <f>SUMIF(Fotball!B:B,'Samlet budsjett'!A122,Fotball!AB:AB)</f>
        <v>0</v>
      </c>
      <c r="I122" s="50">
        <f>SUMIF(Håndball!B:B,'Samlet budsjett'!A122,Håndball!AB:AB)</f>
        <v>0</v>
      </c>
      <c r="J122" s="50">
        <f>SUMIF(Futsal!B:B,'Samlet budsjett'!A:A,Futsal!AB:AB)</f>
        <v>0</v>
      </c>
      <c r="K122" s="50">
        <f>SUMIF('Tur og Friluftsliv'!B:B,'Samlet budsjett'!A122,'Tur og Friluftsliv'!AB:AB)</f>
        <v>500</v>
      </c>
      <c r="L122" s="50">
        <f>SUMIF('E-sport'!B:B,'Samlet budsjett'!A122,'E-sport'!AB:AB)</f>
        <v>0</v>
      </c>
      <c r="M122" s="50">
        <f>SUMIF(Prosjekt!B:B,'Samlet budsjett'!A122,Prosjekt!G:G)</f>
        <v>0</v>
      </c>
    </row>
    <row r="123" spans="1:13" hidden="1" outlineLevel="1" collapsed="1" x14ac:dyDescent="0.3">
      <c r="A123" s="10" t="s">
        <v>91</v>
      </c>
      <c r="B123" s="50">
        <f t="shared" si="29"/>
        <v>40000</v>
      </c>
      <c r="C123" s="50">
        <f>SUMIF(Hovedlaget!B:B,'Samlet budsjett'!A123,Hovedlaget!AB:AB)</f>
        <v>30000</v>
      </c>
      <c r="D123" s="50">
        <f>SUMIF(Allidrett!B:B,'Samlet budsjett'!A123,Allidrett!AB:AB)</f>
        <v>0</v>
      </c>
      <c r="E123" s="50">
        <f>SUMIF(Bueskyting!B:B,'Samlet budsjett'!A123,Bueskyting!AB:AB)</f>
        <v>0</v>
      </c>
      <c r="F123" s="50">
        <f>SUMIF(Tennis!B:B,'Samlet budsjett'!A123,Tennis!AB:AB)</f>
        <v>10000</v>
      </c>
      <c r="G123" s="50">
        <f>SUMIF(Svømming!B:B,'Samlet budsjett'!A123,Svømming!AB:AB)</f>
        <v>0</v>
      </c>
      <c r="H123" s="50">
        <f>SUMIF(Fotball!B:B,'Samlet budsjett'!A123,Fotball!AB:AB)</f>
        <v>0</v>
      </c>
      <c r="I123" s="50">
        <f>SUMIF(Håndball!B:B,'Samlet budsjett'!A123,Håndball!AB:AB)</f>
        <v>0</v>
      </c>
      <c r="J123" s="50">
        <f>SUMIF(Futsal!B:B,'Samlet budsjett'!A:A,Futsal!AB:AB)</f>
        <v>0</v>
      </c>
      <c r="K123" s="50">
        <f>SUMIF('Tur og Friluftsliv'!B:B,'Samlet budsjett'!A123,'Tur og Friluftsliv'!AB:AB)</f>
        <v>0</v>
      </c>
      <c r="L123" s="50">
        <f>SUMIF('E-sport'!B:B,'Samlet budsjett'!A123,'E-sport'!AB:AB)</f>
        <v>0</v>
      </c>
      <c r="M123" s="50">
        <f>SUMIF(Prosjekt!B:B,'Samlet budsjett'!A123,Prosjekt!G:G)</f>
        <v>0</v>
      </c>
    </row>
    <row r="124" spans="1:13" hidden="1" outlineLevel="1" collapsed="1" x14ac:dyDescent="0.3">
      <c r="A124" s="10" t="s">
        <v>92</v>
      </c>
      <c r="B124" s="50">
        <f t="shared" si="29"/>
        <v>30000</v>
      </c>
      <c r="C124" s="50">
        <f>SUMIF(Hovedlaget!B:B,'Samlet budsjett'!A124,Hovedlaget!AB:AB)</f>
        <v>30000</v>
      </c>
      <c r="D124" s="50">
        <f>SUMIF(Allidrett!B:B,'Samlet budsjett'!A124,Allidrett!AB:AB)</f>
        <v>0</v>
      </c>
      <c r="E124" s="50">
        <f>SUMIF(Bueskyting!B:B,'Samlet budsjett'!A124,Bueskyting!AB:AB)</f>
        <v>0</v>
      </c>
      <c r="F124" s="50">
        <f>SUMIF(Tennis!B:B,'Samlet budsjett'!A124,Tennis!AB:AB)</f>
        <v>0</v>
      </c>
      <c r="G124" s="50">
        <f>SUMIF(Svømming!B:B,'Samlet budsjett'!A124,Svømming!AB:AB)</f>
        <v>0</v>
      </c>
      <c r="H124" s="50">
        <f>SUMIF(Fotball!B:B,'Samlet budsjett'!A124,Fotball!AB:AB)</f>
        <v>0</v>
      </c>
      <c r="I124" s="50">
        <f>SUMIF(Håndball!B:B,'Samlet budsjett'!A124,Håndball!AB:AB)</f>
        <v>0</v>
      </c>
      <c r="J124" s="50">
        <f>SUMIF(Futsal!B:B,'Samlet budsjett'!A:A,Futsal!AB:AB)</f>
        <v>0</v>
      </c>
      <c r="K124" s="50">
        <f>SUMIF('Tur og Friluftsliv'!B:B,'Samlet budsjett'!A124,'Tur og Friluftsliv'!AB:AB)</f>
        <v>0</v>
      </c>
      <c r="L124" s="50">
        <f>SUMIF('E-sport'!B:B,'Samlet budsjett'!A124,'E-sport'!AB:AB)</f>
        <v>0</v>
      </c>
      <c r="M124" s="50">
        <f>SUMIF(Prosjekt!B:B,'Samlet budsjett'!A124,Prosjekt!G:G)</f>
        <v>0</v>
      </c>
    </row>
    <row r="125" spans="1:13" hidden="1" outlineLevel="1" collapsed="1" x14ac:dyDescent="0.3">
      <c r="A125" s="10" t="s">
        <v>93</v>
      </c>
      <c r="B125" s="50">
        <f t="shared" si="29"/>
        <v>35000</v>
      </c>
      <c r="C125" s="50">
        <f>SUMIF(Hovedlaget!B:B,'Samlet budsjett'!A125,Hovedlaget!AB:AB)</f>
        <v>35000</v>
      </c>
      <c r="D125" s="50">
        <f>SUMIF(Allidrett!B:B,'Samlet budsjett'!A125,Allidrett!AB:AB)</f>
        <v>0</v>
      </c>
      <c r="E125" s="50">
        <f>SUMIF(Bueskyting!B:B,'Samlet budsjett'!A125,Bueskyting!AB:AB)</f>
        <v>0</v>
      </c>
      <c r="F125" s="50">
        <f>SUMIF(Tennis!B:B,'Samlet budsjett'!A125,Tennis!AB:AB)</f>
        <v>0</v>
      </c>
      <c r="G125" s="50">
        <f>SUMIF(Svømming!B:B,'Samlet budsjett'!A125,Svømming!AB:AB)</f>
        <v>0</v>
      </c>
      <c r="H125" s="50">
        <f>SUMIF(Fotball!B:B,'Samlet budsjett'!A125,Fotball!AB:AB)</f>
        <v>0</v>
      </c>
      <c r="I125" s="50">
        <f>SUMIF(Håndball!B:B,'Samlet budsjett'!A125,Håndball!AB:AB)</f>
        <v>0</v>
      </c>
      <c r="J125" s="50">
        <f>SUMIF(Futsal!B:B,'Samlet budsjett'!A:A,Futsal!AB:AB)</f>
        <v>0</v>
      </c>
      <c r="K125" s="50">
        <f>SUMIF('Tur og Friluftsliv'!B:B,'Samlet budsjett'!A125,'Tur og Friluftsliv'!AB:AB)</f>
        <v>0</v>
      </c>
      <c r="L125" s="50">
        <f>SUMIF('E-sport'!B:B,'Samlet budsjett'!A125,'E-sport'!AB:AB)</f>
        <v>0</v>
      </c>
      <c r="M125" s="50">
        <f>SUMIF(Prosjekt!B:B,'Samlet budsjett'!A125,Prosjekt!G:G)</f>
        <v>0</v>
      </c>
    </row>
    <row r="126" spans="1:13" hidden="1" outlineLevel="1" collapsed="1" x14ac:dyDescent="0.3">
      <c r="A126" s="10" t="s">
        <v>94</v>
      </c>
      <c r="B126" s="50">
        <f t="shared" si="29"/>
        <v>5033759</v>
      </c>
      <c r="C126" s="50">
        <f>SUMIF(Hovedlaget!B:B,'Samlet budsjett'!A126,Hovedlaget!AB:AB)</f>
        <v>70000</v>
      </c>
      <c r="D126" s="50">
        <f>SUMIF(Allidrett!B:B,'Samlet budsjett'!A126,Allidrett!AB:AB)</f>
        <v>0</v>
      </c>
      <c r="E126" s="50">
        <f>SUMIF(Bueskyting!B:B,'Samlet budsjett'!A126,Bueskyting!AB:AB)</f>
        <v>0</v>
      </c>
      <c r="F126" s="50">
        <f>SUMIF(Tennis!B:B,'Samlet budsjett'!A126,Tennis!AB:AB)</f>
        <v>0</v>
      </c>
      <c r="G126" s="50">
        <f>SUMIF(Svømming!B:B,'Samlet budsjett'!A126,Svømming!AB:AB)</f>
        <v>0</v>
      </c>
      <c r="H126" s="50">
        <f>SUMIF(Fotball!B:B,'Samlet budsjett'!A126,Fotball!AB:AB)</f>
        <v>0</v>
      </c>
      <c r="I126" s="50">
        <f>SUMIF(Håndball!B:B,'Samlet budsjett'!A126,Håndball!AB:AB)</f>
        <v>0</v>
      </c>
      <c r="J126" s="50">
        <f>SUMIF(Futsal!B:B,'Samlet budsjett'!A:A,Futsal!AB:AB)</f>
        <v>0</v>
      </c>
      <c r="K126" s="50">
        <f>SUMIF('Tur og Friluftsliv'!B:B,'Samlet budsjett'!A126,'Tur og Friluftsliv'!AB:AB)</f>
        <v>0</v>
      </c>
      <c r="L126" s="50">
        <f>SUMIF('E-sport'!B:B,'Samlet budsjett'!A126,'E-sport'!AB:AB)</f>
        <v>0</v>
      </c>
      <c r="M126" s="50">
        <f>SUMIF(Prosjekt!B:B,'Samlet budsjett'!A126,Prosjekt!G:G)</f>
        <v>4963759</v>
      </c>
    </row>
    <row r="127" spans="1:13" hidden="1" outlineLevel="1" collapsed="1" x14ac:dyDescent="0.3">
      <c r="A127" s="10" t="s">
        <v>95</v>
      </c>
      <c r="B127" s="50">
        <f t="shared" si="29"/>
        <v>20000</v>
      </c>
      <c r="C127" s="50">
        <f>SUMIF(Hovedlaget!B:B,'Samlet budsjett'!A127,Hovedlaget!AB:AB)</f>
        <v>20000</v>
      </c>
      <c r="D127" s="50">
        <f>SUMIF(Allidrett!B:B,'Samlet budsjett'!A127,Allidrett!AB:AB)</f>
        <v>0</v>
      </c>
      <c r="E127" s="50">
        <f>SUMIF(Bueskyting!B:B,'Samlet budsjett'!A127,Bueskyting!AB:AB)</f>
        <v>0</v>
      </c>
      <c r="F127" s="50">
        <f>SUMIF(Tennis!B:B,'Samlet budsjett'!A127,Tennis!AB:AB)</f>
        <v>0</v>
      </c>
      <c r="G127" s="50">
        <f>SUMIF(Svømming!B:B,'Samlet budsjett'!A127,Svømming!AB:AB)</f>
        <v>0</v>
      </c>
      <c r="H127" s="50">
        <f>SUMIF(Fotball!B:B,'Samlet budsjett'!A127,Fotball!AB:AB)</f>
        <v>0</v>
      </c>
      <c r="I127" s="50">
        <f>SUMIF(Håndball!B:B,'Samlet budsjett'!A127,Håndball!AB:AB)</f>
        <v>0</v>
      </c>
      <c r="J127" s="50">
        <f>SUMIF(Futsal!B:B,'Samlet budsjett'!A:A,Futsal!AB:AB)</f>
        <v>0</v>
      </c>
      <c r="K127" s="50">
        <f>SUMIF('Tur og Friluftsliv'!B:B,'Samlet budsjett'!A127,'Tur og Friluftsliv'!AB:AB)</f>
        <v>0</v>
      </c>
      <c r="L127" s="50">
        <f>SUMIF('E-sport'!B:B,'Samlet budsjett'!A127,'E-sport'!AB:AB)</f>
        <v>0</v>
      </c>
      <c r="M127" s="50">
        <f>SUMIF(Prosjekt!B:B,'Samlet budsjett'!A127,Prosjekt!G:G)</f>
        <v>0</v>
      </c>
    </row>
    <row r="128" spans="1:13" hidden="1" outlineLevel="1" collapsed="1" x14ac:dyDescent="0.3">
      <c r="A128" s="10" t="s">
        <v>185</v>
      </c>
      <c r="B128" s="50">
        <f t="shared" si="29"/>
        <v>40000</v>
      </c>
      <c r="C128" s="50">
        <v>40000</v>
      </c>
      <c r="D128" s="50">
        <f>SUMIF(Allidrett!B:B,'Samlet budsjett'!A128,Allidrett!AB:AB)</f>
        <v>0</v>
      </c>
      <c r="E128" s="50">
        <f>SUMIF(Bueskyting!B:B,'Samlet budsjett'!A128,Bueskyting!AB:AB)</f>
        <v>0</v>
      </c>
      <c r="F128" s="50">
        <f>SUMIF(Tennis!B:B,'Samlet budsjett'!A128,Tennis!AB:AB)</f>
        <v>0</v>
      </c>
      <c r="G128" s="50">
        <f>SUMIF(Svømming!B:B,'Samlet budsjett'!A128,Svømming!AB:AB)</f>
        <v>0</v>
      </c>
      <c r="H128" s="50">
        <f>SUMIF(Fotball!B:B,'Samlet budsjett'!A128,Fotball!AB:AB)</f>
        <v>0</v>
      </c>
      <c r="I128" s="50">
        <f>SUMIF(Håndball!B:B,'Samlet budsjett'!A128,Håndball!AB:AB)</f>
        <v>0</v>
      </c>
      <c r="J128" s="50">
        <f>SUMIF(Futsal!B:B,'Samlet budsjett'!A:A,Futsal!AB:AB)</f>
        <v>0</v>
      </c>
      <c r="K128" s="50">
        <f>SUMIF('Tur og Friluftsliv'!B:B,'Samlet budsjett'!A128,'Tur og Friluftsliv'!AB:AB)</f>
        <v>0</v>
      </c>
      <c r="L128" s="50">
        <f>SUMIF('E-sport'!B:B,'Samlet budsjett'!A128,'E-sport'!AB:AB)</f>
        <v>0</v>
      </c>
      <c r="M128" s="50">
        <f>SUMIF(Prosjekt!B:B,'Samlet budsjett'!A128,Prosjekt!G:G)</f>
        <v>0</v>
      </c>
    </row>
    <row r="129" spans="1:13" hidden="1" outlineLevel="1" x14ac:dyDescent="0.3">
      <c r="A129" s="10" t="s">
        <v>212</v>
      </c>
      <c r="B129" s="50">
        <f t="shared" si="29"/>
        <v>11000</v>
      </c>
      <c r="C129" s="50">
        <f>SUMIF(Hovedlaget!B:B,'Samlet budsjett'!A129,Hovedlaget!AB:AB)</f>
        <v>0</v>
      </c>
      <c r="D129" s="50">
        <f>SUMIF(Allidrett!B:B,'Samlet budsjett'!A129,Allidrett!AB:AB)</f>
        <v>0</v>
      </c>
      <c r="E129" s="50">
        <f>SUMIF(Bueskyting!B:B,'Samlet budsjett'!A129,Bueskyting!AB:AB)</f>
        <v>0</v>
      </c>
      <c r="F129" s="50">
        <f>SUMIF(Tennis!B:B,'Samlet budsjett'!A129,Tennis!AB:AB)</f>
        <v>11000</v>
      </c>
      <c r="G129" s="50">
        <f>SUMIF(Svømming!B:B,'Samlet budsjett'!A129,Svømming!AB:AB)</f>
        <v>0</v>
      </c>
      <c r="H129" s="50">
        <f>SUMIF(Fotball!B:B,'Samlet budsjett'!A129,Fotball!AB:AB)</f>
        <v>0</v>
      </c>
      <c r="I129" s="50">
        <f>SUMIF(Håndball!B:B,'Samlet budsjett'!A129,Håndball!AB:AB)</f>
        <v>0</v>
      </c>
      <c r="J129" s="50">
        <f>SUMIF(Futsal!B:B,'Samlet budsjett'!A:A,Futsal!AB:AB)</f>
        <v>0</v>
      </c>
      <c r="K129" s="50">
        <f>SUMIF('Tur og Friluftsliv'!B:B,'Samlet budsjett'!A129,'Tur og Friluftsliv'!AB:AB)</f>
        <v>0</v>
      </c>
      <c r="L129" s="50">
        <f>SUMIF('E-sport'!B:B,'Samlet budsjett'!A129,'E-sport'!AB:AB)</f>
        <v>0</v>
      </c>
      <c r="M129" s="50">
        <f>SUMIF(Prosjekt!B:B,'Samlet budsjett'!A129,Prosjekt!G:G)</f>
        <v>0</v>
      </c>
    </row>
    <row r="130" spans="1:13" hidden="1" outlineLevel="1" collapsed="1" x14ac:dyDescent="0.3">
      <c r="A130" s="10" t="s">
        <v>97</v>
      </c>
      <c r="B130" s="50">
        <f t="shared" si="29"/>
        <v>35000</v>
      </c>
      <c r="C130" s="50">
        <f>SUMIF(Hovedlaget!B:B,'Samlet budsjett'!A130,Hovedlaget!AB:AB)</f>
        <v>35000</v>
      </c>
      <c r="D130" s="50">
        <f>SUMIF(Allidrett!B:B,'Samlet budsjett'!A130,Allidrett!AB:AB)</f>
        <v>0</v>
      </c>
      <c r="E130" s="50">
        <f>SUMIF(Bueskyting!B:B,'Samlet budsjett'!A130,Bueskyting!AB:AB)</f>
        <v>0</v>
      </c>
      <c r="F130" s="50">
        <f>SUMIF(Tennis!B:B,'Samlet budsjett'!A130,Tennis!AB:AB)</f>
        <v>0</v>
      </c>
      <c r="G130" s="50">
        <f>SUMIF(Svømming!B:B,'Samlet budsjett'!A130,Svømming!AB:AB)</f>
        <v>0</v>
      </c>
      <c r="H130" s="50">
        <f>SUMIF(Fotball!B:B,'Samlet budsjett'!A130,Fotball!AB:AB)</f>
        <v>0</v>
      </c>
      <c r="I130" s="50">
        <f>SUMIF(Håndball!B:B,'Samlet budsjett'!A130,Håndball!AB:AB)</f>
        <v>0</v>
      </c>
      <c r="J130" s="50">
        <f>SUMIF(Futsal!B:B,'Samlet budsjett'!A:A,Futsal!AB:AB)</f>
        <v>0</v>
      </c>
      <c r="K130" s="50">
        <f>SUMIF('Tur og Friluftsliv'!B:B,'Samlet budsjett'!A130,'Tur og Friluftsliv'!AB:AB)</f>
        <v>0</v>
      </c>
      <c r="L130" s="50">
        <f>SUMIF('E-sport'!B:B,'Samlet budsjett'!A130,'E-sport'!AB:AB)</f>
        <v>0</v>
      </c>
      <c r="M130" s="50">
        <f>SUMIF(Prosjekt!B:B,'Samlet budsjett'!A130,Prosjekt!G:G)</f>
        <v>0</v>
      </c>
    </row>
    <row r="131" spans="1:13" hidden="1" outlineLevel="1" collapsed="1" x14ac:dyDescent="0.3">
      <c r="A131" s="10" t="s">
        <v>98</v>
      </c>
      <c r="B131" s="50">
        <f t="shared" si="29"/>
        <v>0</v>
      </c>
      <c r="C131" s="50">
        <f>SUMIF(Hovedlaget!B:B,'Samlet budsjett'!A131,Hovedlaget!AB:AB)</f>
        <v>0</v>
      </c>
      <c r="D131" s="50">
        <f>SUMIF(Allidrett!B:B,'Samlet budsjett'!A131,Allidrett!AB:AB)</f>
        <v>0</v>
      </c>
      <c r="E131" s="50">
        <f>SUMIF(Bueskyting!B:B,'Samlet budsjett'!A131,Bueskyting!AB:AB)</f>
        <v>0</v>
      </c>
      <c r="F131" s="50">
        <f>SUMIF(Tennis!B:B,'Samlet budsjett'!A131,Tennis!AB:AB)</f>
        <v>0</v>
      </c>
      <c r="G131" s="50">
        <f>SUMIF(Svømming!B:B,'Samlet budsjett'!A131,Svømming!AB:AB)</f>
        <v>0</v>
      </c>
      <c r="H131" s="50">
        <f>SUMIF(Fotball!B:B,'Samlet budsjett'!A131,Fotball!AB:AB)</f>
        <v>0</v>
      </c>
      <c r="I131" s="50">
        <f>SUMIF(Håndball!B:B,'Samlet budsjett'!A131,Håndball!AB:AB)</f>
        <v>0</v>
      </c>
      <c r="J131" s="50">
        <f>SUMIF(Futsal!B:B,'Samlet budsjett'!A:A,Futsal!AB:AB)</f>
        <v>0</v>
      </c>
      <c r="K131" s="50">
        <f>SUMIF('Tur og Friluftsliv'!B:B,'Samlet budsjett'!A131,'Tur og Friluftsliv'!AB:AB)</f>
        <v>0</v>
      </c>
      <c r="L131" s="50">
        <f>SUMIF('E-sport'!B:B,'Samlet budsjett'!A131,'E-sport'!AB:AB)</f>
        <v>0</v>
      </c>
      <c r="M131" s="50">
        <f>SUMIF(Prosjekt!B:B,'Samlet budsjett'!A131,Prosjekt!G:G)</f>
        <v>0</v>
      </c>
    </row>
    <row r="132" spans="1:13" hidden="1" outlineLevel="1" collapsed="1" x14ac:dyDescent="0.3">
      <c r="A132" s="10" t="s">
        <v>99</v>
      </c>
      <c r="B132" s="50">
        <f t="shared" si="29"/>
        <v>6000</v>
      </c>
      <c r="C132" s="50">
        <f>SUMIF(Hovedlaget!B:B,'Samlet budsjett'!A132,Hovedlaget!AB:AB)</f>
        <v>6000</v>
      </c>
      <c r="D132" s="50">
        <f>SUMIF(Allidrett!B:B,'Samlet budsjett'!A132,Allidrett!AB:AB)</f>
        <v>0</v>
      </c>
      <c r="E132" s="50">
        <f>SUMIF(Bueskyting!B:B,'Samlet budsjett'!A132,Bueskyting!AB:AB)</f>
        <v>0</v>
      </c>
      <c r="F132" s="50">
        <f>SUMIF(Tennis!B:B,'Samlet budsjett'!A132,Tennis!AB:AB)</f>
        <v>0</v>
      </c>
      <c r="G132" s="50">
        <f>SUMIF(Svømming!B:B,'Samlet budsjett'!A132,Svømming!AB:AB)</f>
        <v>0</v>
      </c>
      <c r="H132" s="50">
        <f>SUMIF(Fotball!B:B,'Samlet budsjett'!A132,Fotball!AB:AB)</f>
        <v>0</v>
      </c>
      <c r="I132" s="50">
        <f>SUMIF(Håndball!B:B,'Samlet budsjett'!A132,Håndball!AB:AB)</f>
        <v>0</v>
      </c>
      <c r="J132" s="50">
        <f>SUMIF(Futsal!B:B,'Samlet budsjett'!A:A,Futsal!AB:AB)</f>
        <v>0</v>
      </c>
      <c r="K132" s="50">
        <f>SUMIF('Tur og Friluftsliv'!B:B,'Samlet budsjett'!A132,'Tur og Friluftsliv'!AB:AB)</f>
        <v>0</v>
      </c>
      <c r="L132" s="50">
        <f>SUMIF('E-sport'!B:B,'Samlet budsjett'!A132,'E-sport'!AB:AB)</f>
        <v>0</v>
      </c>
      <c r="M132" s="50">
        <f>SUMIF(Prosjekt!B:B,'Samlet budsjett'!A132,Prosjekt!G:G)</f>
        <v>0</v>
      </c>
    </row>
    <row r="133" spans="1:13" hidden="1" outlineLevel="1" collapsed="1" x14ac:dyDescent="0.3">
      <c r="A133" s="10" t="s">
        <v>100</v>
      </c>
      <c r="B133" s="50">
        <f t="shared" si="29"/>
        <v>80000</v>
      </c>
      <c r="C133" s="50">
        <f>SUMIF(Hovedlaget!B:B,'Samlet budsjett'!A133,Hovedlaget!AB:AB)</f>
        <v>80000</v>
      </c>
      <c r="D133" s="50">
        <f>SUMIF(Allidrett!B:B,'Samlet budsjett'!A133,Allidrett!AB:AB)</f>
        <v>0</v>
      </c>
      <c r="E133" s="50">
        <f>SUMIF(Bueskyting!B:B,'Samlet budsjett'!A133,Bueskyting!AB:AB)</f>
        <v>0</v>
      </c>
      <c r="F133" s="50">
        <f>SUMIF(Tennis!B:B,'Samlet budsjett'!A133,Tennis!AB:AB)</f>
        <v>0</v>
      </c>
      <c r="G133" s="50">
        <f>SUMIF(Svømming!B:B,'Samlet budsjett'!A133,Svømming!AB:AB)</f>
        <v>0</v>
      </c>
      <c r="H133" s="50">
        <f>SUMIF(Fotball!B:B,'Samlet budsjett'!A133,Fotball!AB:AB)</f>
        <v>0</v>
      </c>
      <c r="I133" s="50">
        <f>SUMIF(Håndball!B:B,'Samlet budsjett'!A133,Håndball!AB:AB)</f>
        <v>0</v>
      </c>
      <c r="J133" s="50">
        <f>SUMIF(Futsal!B:B,'Samlet budsjett'!A:A,Futsal!AB:AB)</f>
        <v>0</v>
      </c>
      <c r="K133" s="50">
        <f>SUMIF('Tur og Friluftsliv'!B:B,'Samlet budsjett'!A133,'Tur og Friluftsliv'!AB:AB)</f>
        <v>0</v>
      </c>
      <c r="L133" s="50">
        <f>SUMIF('E-sport'!B:B,'Samlet budsjett'!A133,'E-sport'!AB:AB)</f>
        <v>0</v>
      </c>
      <c r="M133" s="50">
        <f>SUMIF(Prosjekt!B:B,'Samlet budsjett'!A133,Prosjekt!G:G)</f>
        <v>0</v>
      </c>
    </row>
    <row r="134" spans="1:13" hidden="1" outlineLevel="1" collapsed="1" x14ac:dyDescent="0.3">
      <c r="A134" s="10" t="s">
        <v>101</v>
      </c>
      <c r="B134" s="50">
        <f t="shared" si="29"/>
        <v>15000</v>
      </c>
      <c r="C134" s="50">
        <f>SUMIF(Hovedlaget!B:B,'Samlet budsjett'!A134,Hovedlaget!AB:AB)</f>
        <v>15000</v>
      </c>
      <c r="D134" s="50">
        <f>SUMIF(Allidrett!B:B,'Samlet budsjett'!A134,Allidrett!AB:AB)</f>
        <v>0</v>
      </c>
      <c r="E134" s="50">
        <f>SUMIF(Bueskyting!B:B,'Samlet budsjett'!A134,Bueskyting!AB:AB)</f>
        <v>0</v>
      </c>
      <c r="F134" s="50">
        <f>SUMIF(Tennis!B:B,'Samlet budsjett'!A134,Tennis!AB:AB)</f>
        <v>0</v>
      </c>
      <c r="G134" s="50">
        <f>SUMIF(Svømming!B:B,'Samlet budsjett'!A134,Svømming!AB:AB)</f>
        <v>0</v>
      </c>
      <c r="H134" s="50">
        <f>SUMIF(Fotball!B:B,'Samlet budsjett'!A134,Fotball!AB:AB)</f>
        <v>0</v>
      </c>
      <c r="I134" s="50">
        <f>SUMIF(Håndball!B:B,'Samlet budsjett'!A134,Håndball!AB:AB)</f>
        <v>0</v>
      </c>
      <c r="J134" s="50">
        <f>SUMIF(Futsal!B:B,'Samlet budsjett'!A:A,Futsal!AB:AB)</f>
        <v>0</v>
      </c>
      <c r="K134" s="50">
        <f>SUMIF('Tur og Friluftsliv'!B:B,'Samlet budsjett'!A134,'Tur og Friluftsliv'!AB:AB)</f>
        <v>0</v>
      </c>
      <c r="L134" s="50">
        <f>SUMIF('E-sport'!B:B,'Samlet budsjett'!A134,'E-sport'!AB:AB)</f>
        <v>0</v>
      </c>
      <c r="M134" s="50">
        <f>SUMIF(Prosjekt!B:B,'Samlet budsjett'!A134,Prosjekt!G:G)</f>
        <v>0</v>
      </c>
    </row>
    <row r="135" spans="1:13" hidden="1" outlineLevel="1" collapsed="1" x14ac:dyDescent="0.3">
      <c r="A135" s="10" t="s">
        <v>102</v>
      </c>
      <c r="B135" s="50">
        <f t="shared" si="29"/>
        <v>45000</v>
      </c>
      <c r="C135" s="50">
        <f>SUMIF(Hovedlaget!B:B,'Samlet budsjett'!A135,Hovedlaget!AB:AB)</f>
        <v>45000</v>
      </c>
      <c r="D135" s="50">
        <f>SUMIF(Allidrett!B:B,'Samlet budsjett'!A135,Allidrett!AB:AB)</f>
        <v>0</v>
      </c>
      <c r="E135" s="50">
        <f>SUMIF(Bueskyting!B:B,'Samlet budsjett'!A135,Bueskyting!AB:AB)</f>
        <v>0</v>
      </c>
      <c r="F135" s="50">
        <f>SUMIF(Tennis!B:B,'Samlet budsjett'!A135,Tennis!AB:AB)</f>
        <v>0</v>
      </c>
      <c r="G135" s="50">
        <f>SUMIF(Svømming!B:B,'Samlet budsjett'!A135,Svømming!AB:AB)</f>
        <v>0</v>
      </c>
      <c r="H135" s="50">
        <f>SUMIF(Fotball!B:B,'Samlet budsjett'!A135,Fotball!AB:AB)</f>
        <v>0</v>
      </c>
      <c r="I135" s="50">
        <f>SUMIF(Håndball!B:B,'Samlet budsjett'!A135,Håndball!AB:AB)</f>
        <v>0</v>
      </c>
      <c r="J135" s="50">
        <f>SUMIF(Futsal!B:B,'Samlet budsjett'!A:A,Futsal!AB:AB)</f>
        <v>0</v>
      </c>
      <c r="K135" s="50">
        <f>SUMIF('Tur og Friluftsliv'!B:B,'Samlet budsjett'!A135,'Tur og Friluftsliv'!AB:AB)</f>
        <v>0</v>
      </c>
      <c r="L135" s="50">
        <f>SUMIF('E-sport'!B:B,'Samlet budsjett'!A135,'E-sport'!AB:AB)</f>
        <v>0</v>
      </c>
      <c r="M135" s="50">
        <f>SUMIF(Prosjekt!B:B,'Samlet budsjett'!A135,Prosjekt!G:G)</f>
        <v>0</v>
      </c>
    </row>
    <row r="136" spans="1:13" hidden="1" outlineLevel="1" collapsed="1" x14ac:dyDescent="0.3">
      <c r="A136" s="10" t="s">
        <v>103</v>
      </c>
      <c r="B136" s="50">
        <f t="shared" si="29"/>
        <v>52000</v>
      </c>
      <c r="C136" s="50">
        <f>SUMIF(Hovedlaget!B:B,'Samlet budsjett'!A136,Hovedlaget!AB:AB)</f>
        <v>52000</v>
      </c>
      <c r="D136" s="50">
        <f>SUMIF(Allidrett!B:B,'Samlet budsjett'!A136,Allidrett!AB:AB)</f>
        <v>0</v>
      </c>
      <c r="E136" s="50">
        <f>SUMIF(Bueskyting!B:B,'Samlet budsjett'!A136,Bueskyting!AB:AB)</f>
        <v>0</v>
      </c>
      <c r="F136" s="50">
        <f>SUMIF(Tennis!B:B,'Samlet budsjett'!A136,Tennis!AB:AB)</f>
        <v>0</v>
      </c>
      <c r="G136" s="50">
        <f>SUMIF(Svømming!B:B,'Samlet budsjett'!A136,Svømming!AB:AB)</f>
        <v>0</v>
      </c>
      <c r="H136" s="50">
        <f>SUMIF(Fotball!B:B,'Samlet budsjett'!A136,Fotball!AB:AB)</f>
        <v>0</v>
      </c>
      <c r="I136" s="50">
        <f>SUMIF(Håndball!B:B,'Samlet budsjett'!A136,Håndball!AB:AB)</f>
        <v>0</v>
      </c>
      <c r="J136" s="50">
        <f>SUMIF(Futsal!B:B,'Samlet budsjett'!A:A,Futsal!AB:AB)</f>
        <v>0</v>
      </c>
      <c r="K136" s="50">
        <f>SUMIF('Tur og Friluftsliv'!B:B,'Samlet budsjett'!A136,'Tur og Friluftsliv'!AB:AB)</f>
        <v>0</v>
      </c>
      <c r="L136" s="50">
        <f>SUMIF('E-sport'!B:B,'Samlet budsjett'!A136,'E-sport'!AB:AB)</f>
        <v>0</v>
      </c>
      <c r="M136" s="50">
        <f>SUMIF(Prosjekt!B:B,'Samlet budsjett'!A136,Prosjekt!G:G)</f>
        <v>0</v>
      </c>
    </row>
    <row r="137" spans="1:13" hidden="1" outlineLevel="1" collapsed="1" x14ac:dyDescent="0.3">
      <c r="A137" s="10" t="s">
        <v>104</v>
      </c>
      <c r="B137" s="50">
        <f t="shared" si="29"/>
        <v>40000</v>
      </c>
      <c r="C137" s="50">
        <f>SUMIF(Hovedlaget!B:B,'Samlet budsjett'!A137,Hovedlaget!AB:AB)</f>
        <v>40000</v>
      </c>
      <c r="D137" s="50">
        <f>SUMIF(Allidrett!B:B,'Samlet budsjett'!A137,Allidrett!AB:AB)</f>
        <v>0</v>
      </c>
      <c r="E137" s="50">
        <f>SUMIF(Bueskyting!B:B,'Samlet budsjett'!A137,Bueskyting!AB:AB)</f>
        <v>0</v>
      </c>
      <c r="F137" s="50">
        <f>SUMIF(Tennis!B:B,'Samlet budsjett'!A137,Tennis!AB:AB)</f>
        <v>0</v>
      </c>
      <c r="G137" s="50">
        <f>SUMIF(Svømming!B:B,'Samlet budsjett'!A137,Svømming!AB:AB)</f>
        <v>0</v>
      </c>
      <c r="H137" s="50">
        <f>SUMIF(Fotball!B:B,'Samlet budsjett'!A137,Fotball!AB:AB)</f>
        <v>0</v>
      </c>
      <c r="I137" s="50">
        <f>SUMIF(Håndball!B:B,'Samlet budsjett'!A137,Håndball!AB:AB)</f>
        <v>0</v>
      </c>
      <c r="J137" s="50">
        <f>SUMIF(Futsal!B:B,'Samlet budsjett'!A:A,Futsal!AB:AB)</f>
        <v>0</v>
      </c>
      <c r="K137" s="50">
        <f>SUMIF('Tur og Friluftsliv'!B:B,'Samlet budsjett'!A137,'Tur og Friluftsliv'!AB:AB)</f>
        <v>0</v>
      </c>
      <c r="L137" s="50">
        <f>SUMIF('E-sport'!B:B,'Samlet budsjett'!A137,'E-sport'!AB:AB)</f>
        <v>0</v>
      </c>
      <c r="M137" s="50">
        <f>SUMIF(Prosjekt!B:B,'Samlet budsjett'!A137,Prosjekt!G:G)</f>
        <v>0</v>
      </c>
    </row>
    <row r="138" spans="1:13" hidden="1" outlineLevel="1" collapsed="1" x14ac:dyDescent="0.3">
      <c r="A138" s="10" t="s">
        <v>105</v>
      </c>
      <c r="B138" s="50">
        <f t="shared" si="29"/>
        <v>20000</v>
      </c>
      <c r="C138" s="50">
        <f>SUMIF(Hovedlaget!B:B,'Samlet budsjett'!A138,Hovedlaget!AB:AB)</f>
        <v>20000</v>
      </c>
      <c r="D138" s="50">
        <f>SUMIF(Allidrett!B:B,'Samlet budsjett'!A138,Allidrett!AB:AB)</f>
        <v>0</v>
      </c>
      <c r="E138" s="50">
        <f>SUMIF(Bueskyting!B:B,'Samlet budsjett'!A138,Bueskyting!AB:AB)</f>
        <v>0</v>
      </c>
      <c r="F138" s="50">
        <f>SUMIF(Tennis!B:B,'Samlet budsjett'!A138,Tennis!AB:AB)</f>
        <v>0</v>
      </c>
      <c r="G138" s="50">
        <f>SUMIF(Svømming!B:B,'Samlet budsjett'!A138,Svømming!AB:AB)</f>
        <v>0</v>
      </c>
      <c r="H138" s="50">
        <f>SUMIF(Fotball!B:B,'Samlet budsjett'!A138,Fotball!AB:AB)</f>
        <v>0</v>
      </c>
      <c r="I138" s="50">
        <f>SUMIF(Håndball!B:B,'Samlet budsjett'!A138,Håndball!AB:AB)</f>
        <v>0</v>
      </c>
      <c r="J138" s="50">
        <f>SUMIF(Futsal!B:B,'Samlet budsjett'!A:A,Futsal!AB:AB)</f>
        <v>0</v>
      </c>
      <c r="K138" s="50">
        <f>SUMIF('Tur og Friluftsliv'!B:B,'Samlet budsjett'!A138,'Tur og Friluftsliv'!AB:AB)</f>
        <v>0</v>
      </c>
      <c r="L138" s="50">
        <f>SUMIF('E-sport'!B:B,'Samlet budsjett'!A138,'E-sport'!AB:AB)</f>
        <v>0</v>
      </c>
      <c r="M138" s="50">
        <f>SUMIF(Prosjekt!B:B,'Samlet budsjett'!A138,Prosjekt!G:G)</f>
        <v>0</v>
      </c>
    </row>
    <row r="139" spans="1:13" hidden="1" outlineLevel="1" collapsed="1" x14ac:dyDescent="0.3">
      <c r="A139" s="10" t="s">
        <v>106</v>
      </c>
      <c r="B139" s="50">
        <f t="shared" si="29"/>
        <v>100000</v>
      </c>
      <c r="C139" s="50">
        <f>SUMIF(Hovedlaget!B:B,'Samlet budsjett'!A139,Hovedlaget!AB:AB)</f>
        <v>100000</v>
      </c>
      <c r="D139" s="50">
        <f>SUMIF(Allidrett!B:B,'Samlet budsjett'!A139,Allidrett!AB:AB)</f>
        <v>0</v>
      </c>
      <c r="E139" s="50">
        <f>SUMIF(Bueskyting!B:B,'Samlet budsjett'!A139,Bueskyting!AB:AB)</f>
        <v>0</v>
      </c>
      <c r="F139" s="50">
        <f>SUMIF(Tennis!B:B,'Samlet budsjett'!A139,Tennis!AB:AB)</f>
        <v>0</v>
      </c>
      <c r="G139" s="50">
        <f>SUMIF(Svømming!B:B,'Samlet budsjett'!A139,Svømming!AB:AB)</f>
        <v>0</v>
      </c>
      <c r="H139" s="50">
        <f>SUMIF(Fotball!B:B,'Samlet budsjett'!A139,Fotball!AB:AB)</f>
        <v>0</v>
      </c>
      <c r="I139" s="50">
        <f>SUMIF(Håndball!B:B,'Samlet budsjett'!A139,Håndball!AB:AB)</f>
        <v>0</v>
      </c>
      <c r="J139" s="50">
        <f>SUMIF(Futsal!B:B,'Samlet budsjett'!A:A,Futsal!AB:AB)</f>
        <v>0</v>
      </c>
      <c r="K139" s="50">
        <f>SUMIF('Tur og Friluftsliv'!B:B,'Samlet budsjett'!A139,'Tur og Friluftsliv'!AB:AB)</f>
        <v>0</v>
      </c>
      <c r="L139" s="50">
        <f>SUMIF('E-sport'!B:B,'Samlet budsjett'!A139,'E-sport'!AB:AB)</f>
        <v>0</v>
      </c>
      <c r="M139" s="50">
        <f>SUMIF(Prosjekt!B:B,'Samlet budsjett'!A139,Prosjekt!G:G)</f>
        <v>0</v>
      </c>
    </row>
    <row r="140" spans="1:13" hidden="1" outlineLevel="1" collapsed="1" x14ac:dyDescent="0.3">
      <c r="A140" s="10" t="s">
        <v>107</v>
      </c>
      <c r="B140" s="50">
        <f t="shared" si="29"/>
        <v>400000</v>
      </c>
      <c r="C140" s="50">
        <f>SUMIF(Hovedlaget!B:B,'Samlet budsjett'!A140,Hovedlaget!AB:AB)</f>
        <v>400000</v>
      </c>
      <c r="D140" s="50">
        <f>SUMIF(Allidrett!B:B,'Samlet budsjett'!A140,Allidrett!AB:AB)</f>
        <v>0</v>
      </c>
      <c r="E140" s="50">
        <f>SUMIF(Bueskyting!B:B,'Samlet budsjett'!A140,Bueskyting!AB:AB)</f>
        <v>0</v>
      </c>
      <c r="F140" s="50">
        <f>SUMIF(Tennis!B:B,'Samlet budsjett'!A140,Tennis!AB:AB)</f>
        <v>0</v>
      </c>
      <c r="G140" s="50">
        <f>SUMIF(Svømming!B:B,'Samlet budsjett'!A140,Svømming!AB:AB)</f>
        <v>0</v>
      </c>
      <c r="H140" s="50">
        <f>SUMIF(Fotball!B:B,'Samlet budsjett'!A140,Fotball!AB:AB)</f>
        <v>0</v>
      </c>
      <c r="I140" s="50">
        <f>SUMIF(Håndball!B:B,'Samlet budsjett'!A140,Håndball!AB:AB)</f>
        <v>0</v>
      </c>
      <c r="J140" s="50">
        <f>SUMIF(Futsal!B:B,'Samlet budsjett'!A:A,Futsal!AB:AB)</f>
        <v>0</v>
      </c>
      <c r="K140" s="50">
        <f>SUMIF('Tur og Friluftsliv'!B:B,'Samlet budsjett'!A140,'Tur og Friluftsliv'!AB:AB)</f>
        <v>0</v>
      </c>
      <c r="L140" s="50">
        <f>SUMIF('E-sport'!B:B,'Samlet budsjett'!A140,'E-sport'!AB:AB)</f>
        <v>0</v>
      </c>
      <c r="M140" s="50">
        <f>SUMIF(Prosjekt!B:B,'Samlet budsjett'!A140,Prosjekt!G:G)</f>
        <v>0</v>
      </c>
    </row>
    <row r="141" spans="1:13" hidden="1" outlineLevel="1" collapsed="1" x14ac:dyDescent="0.3">
      <c r="A141" s="10" t="s">
        <v>108</v>
      </c>
      <c r="B141" s="50">
        <f t="shared" si="29"/>
        <v>0</v>
      </c>
      <c r="C141" s="50">
        <f>SUMIF(Hovedlaget!B:B,'Samlet budsjett'!A141,Hovedlaget!AB:AB)</f>
        <v>0</v>
      </c>
      <c r="D141" s="50">
        <f>SUMIF(Allidrett!B:B,'Samlet budsjett'!A141,Allidrett!AB:AB)</f>
        <v>0</v>
      </c>
      <c r="E141" s="50">
        <f>SUMIF(Bueskyting!B:B,'Samlet budsjett'!A141,Bueskyting!AB:AB)</f>
        <v>0</v>
      </c>
      <c r="F141" s="50">
        <f>SUMIF(Tennis!B:B,'Samlet budsjett'!A141,Tennis!AB:AB)</f>
        <v>0</v>
      </c>
      <c r="G141" s="50">
        <f>SUMIF(Svømming!B:B,'Samlet budsjett'!A141,Svømming!AB:AB)</f>
        <v>0</v>
      </c>
      <c r="H141" s="50">
        <f>SUMIF(Fotball!B:B,'Samlet budsjett'!A141,Fotball!AB:AB)</f>
        <v>0</v>
      </c>
      <c r="I141" s="50">
        <f>SUMIF(Håndball!B:B,'Samlet budsjett'!A141,Håndball!AB:AB)</f>
        <v>0</v>
      </c>
      <c r="J141" s="50">
        <f>SUMIF(Futsal!B:B,'Samlet budsjett'!A:A,Futsal!AB:AB)</f>
        <v>0</v>
      </c>
      <c r="K141" s="50">
        <f>SUMIF('Tur og Friluftsliv'!B:B,'Samlet budsjett'!A141,'Tur og Friluftsliv'!AB:AB)</f>
        <v>0</v>
      </c>
      <c r="L141" s="50">
        <f>SUMIF('E-sport'!B:B,'Samlet budsjett'!A141,'E-sport'!AB:AB)</f>
        <v>0</v>
      </c>
      <c r="M141" s="50">
        <f>SUMIF(Prosjekt!B:B,'Samlet budsjett'!A141,Prosjekt!G:G)</f>
        <v>0</v>
      </c>
    </row>
    <row r="142" spans="1:13" hidden="1" outlineLevel="1" collapsed="1" x14ac:dyDescent="0.3">
      <c r="A142" s="10" t="s">
        <v>109</v>
      </c>
      <c r="B142" s="50">
        <f t="shared" si="29"/>
        <v>0</v>
      </c>
      <c r="C142" s="50">
        <f>SUMIF(Hovedlaget!B:B,'Samlet budsjett'!A142,Hovedlaget!AB:AB)</f>
        <v>0</v>
      </c>
      <c r="D142" s="50">
        <f>SUMIF(Allidrett!B:B,'Samlet budsjett'!A142,Allidrett!AB:AB)</f>
        <v>0</v>
      </c>
      <c r="E142" s="50">
        <f>SUMIF(Bueskyting!B:B,'Samlet budsjett'!A142,Bueskyting!AB:AB)</f>
        <v>0</v>
      </c>
      <c r="F142" s="50">
        <f>SUMIF(Tennis!B:B,'Samlet budsjett'!A142,Tennis!AB:AB)</f>
        <v>0</v>
      </c>
      <c r="G142" s="50">
        <f>SUMIF(Svømming!B:B,'Samlet budsjett'!A142,Svømming!AB:AB)</f>
        <v>0</v>
      </c>
      <c r="H142" s="50">
        <f>SUMIF(Fotball!B:B,'Samlet budsjett'!A142,Fotball!AB:AB)</f>
        <v>0</v>
      </c>
      <c r="I142" s="50">
        <f>SUMIF(Håndball!B:B,'Samlet budsjett'!A142,Håndball!AB:AB)</f>
        <v>0</v>
      </c>
      <c r="J142" s="50">
        <f>SUMIF(Futsal!B:B,'Samlet budsjett'!A:A,Futsal!AB:AB)</f>
        <v>0</v>
      </c>
      <c r="K142" s="50">
        <f>SUMIF('Tur og Friluftsliv'!B:B,'Samlet budsjett'!A142,'Tur og Friluftsliv'!AB:AB)</f>
        <v>0</v>
      </c>
      <c r="L142" s="50">
        <f>SUMIF('E-sport'!B:B,'Samlet budsjett'!A142,'E-sport'!AB:AB)</f>
        <v>0</v>
      </c>
      <c r="M142" s="50">
        <f>SUMIF(Prosjekt!B:B,'Samlet budsjett'!A142,Prosjekt!G:G)</f>
        <v>0</v>
      </c>
    </row>
    <row r="143" spans="1:13" hidden="1" outlineLevel="1" collapsed="1" x14ac:dyDescent="0.3">
      <c r="A143" s="10" t="s">
        <v>110</v>
      </c>
      <c r="B143" s="50">
        <f t="shared" si="29"/>
        <v>5500</v>
      </c>
      <c r="C143" s="50">
        <f>SUMIF(Hovedlaget!B:B,'Samlet budsjett'!A143,Hovedlaget!AB:AB)</f>
        <v>5000</v>
      </c>
      <c r="D143" s="50">
        <f>SUMIF(Allidrett!B:B,'Samlet budsjett'!A143,Allidrett!AB:AB)</f>
        <v>500</v>
      </c>
      <c r="E143" s="50">
        <f>SUMIF(Bueskyting!B:B,'Samlet budsjett'!A143,Bueskyting!AB:AB)</f>
        <v>0</v>
      </c>
      <c r="F143" s="50">
        <f>SUMIF(Tennis!B:B,'Samlet budsjett'!A143,Tennis!AB:AB)</f>
        <v>0</v>
      </c>
      <c r="G143" s="50">
        <f>SUMIF(Svømming!B:B,'Samlet budsjett'!A143,Svømming!AB:AB)</f>
        <v>0</v>
      </c>
      <c r="H143" s="50">
        <f>SUMIF(Fotball!B:B,'Samlet budsjett'!A143,Fotball!AB:AB)</f>
        <v>0</v>
      </c>
      <c r="I143" s="50">
        <f>SUMIF(Håndball!B:B,'Samlet budsjett'!A143,Håndball!AB:AB)</f>
        <v>0</v>
      </c>
      <c r="J143" s="50">
        <f>SUMIF(Futsal!B:B,'Samlet budsjett'!A:A,Futsal!AB:AB)</f>
        <v>0</v>
      </c>
      <c r="K143" s="50">
        <f>SUMIF('Tur og Friluftsliv'!B:B,'Samlet budsjett'!A143,'Tur og Friluftsliv'!AB:AB)</f>
        <v>0</v>
      </c>
      <c r="L143" s="50">
        <f>SUMIF('E-sport'!B:B,'Samlet budsjett'!A143,'E-sport'!AB:AB)</f>
        <v>0</v>
      </c>
      <c r="M143" s="50">
        <f>SUMIF(Prosjekt!B:B,'Samlet budsjett'!A143,Prosjekt!G:G)</f>
        <v>0</v>
      </c>
    </row>
    <row r="144" spans="1:13" hidden="1" outlineLevel="1" collapsed="1" x14ac:dyDescent="0.3">
      <c r="A144" s="10" t="s">
        <v>111</v>
      </c>
      <c r="B144" s="50">
        <f t="shared" si="29"/>
        <v>29000</v>
      </c>
      <c r="C144" s="50">
        <f>SUMIF(Hovedlaget!B:B,'Samlet budsjett'!A144,Hovedlaget!AB:AB)</f>
        <v>29000</v>
      </c>
      <c r="D144" s="50">
        <f>SUMIF(Allidrett!B:B,'Samlet budsjett'!A144,Allidrett!AB:AB)</f>
        <v>0</v>
      </c>
      <c r="E144" s="50">
        <f>SUMIF(Bueskyting!B:B,'Samlet budsjett'!A144,Bueskyting!AB:AB)</f>
        <v>0</v>
      </c>
      <c r="F144" s="50">
        <f>SUMIF(Tennis!B:B,'Samlet budsjett'!A144,Tennis!AB:AB)</f>
        <v>0</v>
      </c>
      <c r="G144" s="50">
        <f>SUMIF(Svømming!B:B,'Samlet budsjett'!A144,Svømming!AB:AB)</f>
        <v>0</v>
      </c>
      <c r="H144" s="50">
        <f>SUMIF(Fotball!B:B,'Samlet budsjett'!A144,Fotball!AB:AB)</f>
        <v>0</v>
      </c>
      <c r="I144" s="50">
        <f>SUMIF(Håndball!B:B,'Samlet budsjett'!A144,Håndball!AB:AB)</f>
        <v>0</v>
      </c>
      <c r="J144" s="50">
        <f>SUMIF(Futsal!B:B,'Samlet budsjett'!A:A,Futsal!AB:AB)</f>
        <v>0</v>
      </c>
      <c r="K144" s="50">
        <f>SUMIF('Tur og Friluftsliv'!B:B,'Samlet budsjett'!A144,'Tur og Friluftsliv'!AB:AB)</f>
        <v>0</v>
      </c>
      <c r="L144" s="50">
        <f>SUMIF('E-sport'!B:B,'Samlet budsjett'!A144,'E-sport'!AB:AB)</f>
        <v>0</v>
      </c>
      <c r="M144" s="50">
        <f>SUMIF(Prosjekt!B:B,'Samlet budsjett'!A144,Prosjekt!G:G)</f>
        <v>0</v>
      </c>
    </row>
    <row r="145" spans="1:13" hidden="1" outlineLevel="1" collapsed="1" x14ac:dyDescent="0.3">
      <c r="A145" s="10" t="s">
        <v>112</v>
      </c>
      <c r="B145" s="50">
        <f t="shared" si="29"/>
        <v>0</v>
      </c>
      <c r="C145" s="50">
        <f>SUMIF(Hovedlaget!B:B,'Samlet budsjett'!A145,Hovedlaget!AB:AB)</f>
        <v>0</v>
      </c>
      <c r="D145" s="50">
        <f>SUMIF(Allidrett!B:B,'Samlet budsjett'!A145,Allidrett!AB:AB)</f>
        <v>0</v>
      </c>
      <c r="E145" s="50">
        <f>SUMIF(Bueskyting!B:B,'Samlet budsjett'!A145,Bueskyting!AB:AB)</f>
        <v>0</v>
      </c>
      <c r="F145" s="50">
        <f>SUMIF(Tennis!B:B,'Samlet budsjett'!A145,Tennis!AB:AB)</f>
        <v>0</v>
      </c>
      <c r="G145" s="50">
        <f>SUMIF(Svømming!B:B,'Samlet budsjett'!A145,Svømming!AB:AB)</f>
        <v>0</v>
      </c>
      <c r="H145" s="50">
        <f>SUMIF(Fotball!B:B,'Samlet budsjett'!A145,Fotball!AB:AB)</f>
        <v>0</v>
      </c>
      <c r="I145" s="50">
        <f>SUMIF(Håndball!B:B,'Samlet budsjett'!A145,Håndball!AB:AB)</f>
        <v>0</v>
      </c>
      <c r="J145" s="50">
        <f>SUMIF(Futsal!B:B,'Samlet budsjett'!A:A,Futsal!AB:AB)</f>
        <v>0</v>
      </c>
      <c r="K145" s="50">
        <f>SUMIF('Tur og Friluftsliv'!B:B,'Samlet budsjett'!A145,'Tur og Friluftsliv'!AB:AB)</f>
        <v>0</v>
      </c>
      <c r="L145" s="50">
        <f>SUMIF('E-sport'!B:B,'Samlet budsjett'!A145,'E-sport'!AB:AB)</f>
        <v>0</v>
      </c>
      <c r="M145" s="50">
        <f>SUMIF(Prosjekt!B:B,'Samlet budsjett'!A145,Prosjekt!G:G)</f>
        <v>0</v>
      </c>
    </row>
    <row r="146" spans="1:13" hidden="1" outlineLevel="1" collapsed="1" x14ac:dyDescent="0.3">
      <c r="A146" s="10" t="s">
        <v>113</v>
      </c>
      <c r="B146" s="50">
        <f t="shared" si="29"/>
        <v>16000</v>
      </c>
      <c r="C146" s="50">
        <f>SUMIF(Hovedlaget!B:B,'Samlet budsjett'!A146,Hovedlaget!AB:AB)</f>
        <v>3500</v>
      </c>
      <c r="D146" s="50">
        <f>SUMIF(Allidrett!B:B,'Samlet budsjett'!A146,Allidrett!AB:AB)</f>
        <v>0</v>
      </c>
      <c r="E146" s="50">
        <f>SUMIF(Bueskyting!B:B,'Samlet budsjett'!A146,Bueskyting!AB:AB)</f>
        <v>0</v>
      </c>
      <c r="F146" s="50">
        <f>SUMIF(Tennis!B:B,'Samlet budsjett'!A146,Tennis!AB:AB)</f>
        <v>0</v>
      </c>
      <c r="G146" s="50">
        <f>SUMIF(Svømming!B:B,'Samlet budsjett'!A146,Svømming!AB:AB)</f>
        <v>500</v>
      </c>
      <c r="H146" s="50">
        <f>SUMIF(Fotball!B:B,'Samlet budsjett'!A146,Fotball!AB:AB)</f>
        <v>0</v>
      </c>
      <c r="I146" s="50">
        <f>SUMIF(Håndball!B:B,'Samlet budsjett'!A146,Håndball!AB:AB)</f>
        <v>12000</v>
      </c>
      <c r="J146" s="50">
        <f>SUMIF(Futsal!B:B,'Samlet budsjett'!A:A,Futsal!AB:AB)</f>
        <v>0</v>
      </c>
      <c r="K146" s="50">
        <f>SUMIF('Tur og Friluftsliv'!B:B,'Samlet budsjett'!A146,'Tur og Friluftsliv'!AB:AB)</f>
        <v>0</v>
      </c>
      <c r="L146" s="50">
        <f>SUMIF('E-sport'!B:B,'Samlet budsjett'!A146,'E-sport'!AB:AB)</f>
        <v>0</v>
      </c>
      <c r="M146" s="50">
        <f>SUMIF(Prosjekt!B:B,'Samlet budsjett'!A146,Prosjekt!G:G)</f>
        <v>0</v>
      </c>
    </row>
    <row r="147" spans="1:13" hidden="1" outlineLevel="1" collapsed="1" x14ac:dyDescent="0.3">
      <c r="A147" s="10" t="s">
        <v>114</v>
      </c>
      <c r="B147" s="50">
        <f t="shared" si="29"/>
        <v>22500</v>
      </c>
      <c r="C147" s="50">
        <f>SUMIF(Hovedlaget!B:B,'Samlet budsjett'!A147,Hovedlaget!AB:AB)</f>
        <v>5000</v>
      </c>
      <c r="D147" s="50">
        <f>SUMIF(Allidrett!B:B,'Samlet budsjett'!A147,Allidrett!AB:AB)</f>
        <v>0</v>
      </c>
      <c r="E147" s="50">
        <f>SUMIF(Bueskyting!B:B,'Samlet budsjett'!A147,Bueskyting!AB:AB)</f>
        <v>0</v>
      </c>
      <c r="F147" s="50">
        <f>SUMIF(Tennis!B:B,'Samlet budsjett'!A147,Tennis!AB:AB)</f>
        <v>0</v>
      </c>
      <c r="G147" s="50">
        <f>SUMIF(Svømming!B:B,'Samlet budsjett'!A147,Svømming!AB:AB)</f>
        <v>5500</v>
      </c>
      <c r="H147" s="50">
        <f>SUMIF(Fotball!B:B,'Samlet budsjett'!A147,Fotball!AB:AB)</f>
        <v>0</v>
      </c>
      <c r="I147" s="50">
        <f>SUMIF(Håndball!B:B,'Samlet budsjett'!A147,Håndball!AB:AB)</f>
        <v>12000</v>
      </c>
      <c r="J147" s="50">
        <f>SUMIF(Futsal!B:B,'Samlet budsjett'!A:A,Futsal!AB:AB)</f>
        <v>0</v>
      </c>
      <c r="K147" s="50">
        <f>SUMIF('Tur og Friluftsliv'!B:B,'Samlet budsjett'!A147,'Tur og Friluftsliv'!AB:AB)</f>
        <v>0</v>
      </c>
      <c r="L147" s="50">
        <f>SUMIF('E-sport'!B:B,'Samlet budsjett'!A147,'E-sport'!AB:AB)</f>
        <v>0</v>
      </c>
      <c r="M147" s="50">
        <f>SUMIF(Prosjekt!B:B,'Samlet budsjett'!A147,Prosjekt!G:G)</f>
        <v>0</v>
      </c>
    </row>
    <row r="148" spans="1:13" hidden="1" outlineLevel="1" collapsed="1" x14ac:dyDescent="0.3">
      <c r="A148" s="10" t="s">
        <v>115</v>
      </c>
      <c r="B148" s="50">
        <f t="shared" si="29"/>
        <v>0</v>
      </c>
      <c r="C148" s="50">
        <f>SUMIF(Hovedlaget!B:B,'Samlet budsjett'!A148,Hovedlaget!AB:AB)</f>
        <v>0</v>
      </c>
      <c r="D148" s="50">
        <f>SUMIF(Allidrett!B:B,'Samlet budsjett'!A148,Allidrett!AB:AB)</f>
        <v>0</v>
      </c>
      <c r="E148" s="50">
        <f>SUMIF(Bueskyting!B:B,'Samlet budsjett'!A148,Bueskyting!AB:AB)</f>
        <v>0</v>
      </c>
      <c r="F148" s="50">
        <f>SUMIF(Tennis!B:B,'Samlet budsjett'!A148,Tennis!AB:AB)</f>
        <v>0</v>
      </c>
      <c r="G148" s="50">
        <f>SUMIF(Svømming!B:B,'Samlet budsjett'!A148,Svømming!AB:AB)</f>
        <v>0</v>
      </c>
      <c r="H148" s="50">
        <f>SUMIF(Fotball!B:B,'Samlet budsjett'!A148,Fotball!AB:AB)</f>
        <v>0</v>
      </c>
      <c r="I148" s="50">
        <f>SUMIF(Håndball!B:B,'Samlet budsjett'!A148,Håndball!AB:AB)</f>
        <v>0</v>
      </c>
      <c r="J148" s="50">
        <f>SUMIF(Futsal!B:B,'Samlet budsjett'!A:A,Futsal!AB:AB)</f>
        <v>0</v>
      </c>
      <c r="K148" s="50">
        <f>SUMIF('Tur og Friluftsliv'!B:B,'Samlet budsjett'!A148,'Tur og Friluftsliv'!AB:AB)</f>
        <v>0</v>
      </c>
      <c r="L148" s="50">
        <f>SUMIF('E-sport'!B:B,'Samlet budsjett'!A148,'E-sport'!AB:AB)</f>
        <v>0</v>
      </c>
      <c r="M148" s="50">
        <f>SUMIF(Prosjekt!B:B,'Samlet budsjett'!A148,Prosjekt!G:G)</f>
        <v>0</v>
      </c>
    </row>
    <row r="149" spans="1:13" hidden="1" outlineLevel="1" collapsed="1" x14ac:dyDescent="0.3">
      <c r="A149" s="10" t="s">
        <v>116</v>
      </c>
      <c r="B149" s="50">
        <f t="shared" ref="B149:B179" si="30">SUM(C149:M149)</f>
        <v>0</v>
      </c>
      <c r="C149" s="50">
        <f>SUMIF(Hovedlaget!B:B,'Samlet budsjett'!A149,Hovedlaget!AB:AB)</f>
        <v>0</v>
      </c>
      <c r="D149" s="50">
        <f>SUMIF(Allidrett!B:B,'Samlet budsjett'!A149,Allidrett!AB:AB)</f>
        <v>0</v>
      </c>
      <c r="E149" s="50">
        <f>SUMIF(Bueskyting!B:B,'Samlet budsjett'!A149,Bueskyting!AB:AB)</f>
        <v>0</v>
      </c>
      <c r="F149" s="50">
        <f>SUMIF(Tennis!B:B,'Samlet budsjett'!A149,Tennis!AB:AB)</f>
        <v>0</v>
      </c>
      <c r="G149" s="50">
        <f>SUMIF(Svømming!B:B,'Samlet budsjett'!A149,Svømming!AB:AB)</f>
        <v>0</v>
      </c>
      <c r="H149" s="50">
        <f>SUMIF(Fotball!B:B,'Samlet budsjett'!A149,Fotball!AB:AB)</f>
        <v>0</v>
      </c>
      <c r="I149" s="50">
        <f>SUMIF(Håndball!B:B,'Samlet budsjett'!A149,Håndball!AB:AB)</f>
        <v>0</v>
      </c>
      <c r="J149" s="50">
        <f>SUMIF(Futsal!B:B,'Samlet budsjett'!A:A,Futsal!AB:AB)</f>
        <v>0</v>
      </c>
      <c r="K149" s="50">
        <f>SUMIF('Tur og Friluftsliv'!B:B,'Samlet budsjett'!A149,'Tur og Friluftsliv'!AB:AB)</f>
        <v>0</v>
      </c>
      <c r="L149" s="50">
        <f>SUMIF('E-sport'!B:B,'Samlet budsjett'!A149,'E-sport'!AB:AB)</f>
        <v>0</v>
      </c>
      <c r="M149" s="50">
        <f>SUMIF(Prosjekt!B:B,'Samlet budsjett'!A149,Prosjekt!G:G)</f>
        <v>0</v>
      </c>
    </row>
    <row r="150" spans="1:13" hidden="1" outlineLevel="1" collapsed="1" x14ac:dyDescent="0.3">
      <c r="A150" s="10" t="s">
        <v>117</v>
      </c>
      <c r="B150" s="50">
        <f t="shared" si="30"/>
        <v>26400</v>
      </c>
      <c r="C150" s="50">
        <f>SUMIF(Hovedlaget!B:B,'Samlet budsjett'!A150,Hovedlaget!AB:AB)</f>
        <v>14400</v>
      </c>
      <c r="D150" s="50">
        <f>SUMIF(Allidrett!B:B,'Samlet budsjett'!A150,Allidrett!AB:AB)</f>
        <v>0</v>
      </c>
      <c r="E150" s="50">
        <f>SUMIF(Bueskyting!B:B,'Samlet budsjett'!A150,Bueskyting!AB:AB)</f>
        <v>0</v>
      </c>
      <c r="F150" s="50">
        <f>SUMIF(Tennis!B:B,'Samlet budsjett'!A150,Tennis!AB:AB)</f>
        <v>0</v>
      </c>
      <c r="G150" s="50">
        <f>SUMIF(Svømming!B:B,'Samlet budsjett'!A150,Svømming!AB:AB)</f>
        <v>0</v>
      </c>
      <c r="H150" s="50">
        <f>SUMIF(Fotball!B:B,'Samlet budsjett'!A150,Fotball!AB:AB)</f>
        <v>12000</v>
      </c>
      <c r="I150" s="50">
        <f>SUMIF(Håndball!B:B,'Samlet budsjett'!A150,Håndball!AB:AB)</f>
        <v>0</v>
      </c>
      <c r="J150" s="50">
        <f>SUMIF(Futsal!B:B,'Samlet budsjett'!A:A,Futsal!AB:AB)</f>
        <v>0</v>
      </c>
      <c r="K150" s="50">
        <f>SUMIF('Tur og Friluftsliv'!B:B,'Samlet budsjett'!A150,'Tur og Friluftsliv'!AB:AB)</f>
        <v>0</v>
      </c>
      <c r="L150" s="50">
        <f>SUMIF('E-sport'!B:B,'Samlet budsjett'!A150,'E-sport'!AB:AB)</f>
        <v>0</v>
      </c>
      <c r="M150" s="50">
        <f>SUMIF(Prosjekt!B:B,'Samlet budsjett'!A150,Prosjekt!G:G)</f>
        <v>0</v>
      </c>
    </row>
    <row r="151" spans="1:13" hidden="1" outlineLevel="1" collapsed="1" x14ac:dyDescent="0.3">
      <c r="A151" s="10" t="s">
        <v>118</v>
      </c>
      <c r="B151" s="50">
        <f t="shared" si="30"/>
        <v>9600</v>
      </c>
      <c r="C151" s="50">
        <f>SUMIF(Hovedlaget!B:B,'Samlet budsjett'!A151,Hovedlaget!AB:AB)</f>
        <v>3600</v>
      </c>
      <c r="D151" s="50">
        <f>SUMIF(Allidrett!B:B,'Samlet budsjett'!A151,Allidrett!AB:AB)</f>
        <v>0</v>
      </c>
      <c r="E151" s="50">
        <f>SUMIF(Bueskyting!B:B,'Samlet budsjett'!A151,Bueskyting!AB:AB)</f>
        <v>0</v>
      </c>
      <c r="F151" s="50">
        <f>SUMIF(Tennis!B:B,'Samlet budsjett'!A151,Tennis!AB:AB)</f>
        <v>0</v>
      </c>
      <c r="G151" s="50">
        <f>SUMIF(Svømming!B:B,'Samlet budsjett'!A151,Svømming!AB:AB)</f>
        <v>0</v>
      </c>
      <c r="H151" s="50">
        <f>SUMIF(Fotball!B:B,'Samlet budsjett'!A151,Fotball!AB:AB)</f>
        <v>6000</v>
      </c>
      <c r="I151" s="50">
        <f>SUMIF(Håndball!B:B,'Samlet budsjett'!A151,Håndball!AB:AB)</f>
        <v>0</v>
      </c>
      <c r="J151" s="50">
        <f>SUMIF(Futsal!B:B,'Samlet budsjett'!A:A,Futsal!AB:AB)</f>
        <v>0</v>
      </c>
      <c r="K151" s="50">
        <f>SUMIF('Tur og Friluftsliv'!B:B,'Samlet budsjett'!A151,'Tur og Friluftsliv'!AB:AB)</f>
        <v>0</v>
      </c>
      <c r="L151" s="50">
        <f>SUMIF('E-sport'!B:B,'Samlet budsjett'!A151,'E-sport'!AB:AB)</f>
        <v>0</v>
      </c>
      <c r="M151" s="50">
        <f>SUMIF(Prosjekt!B:B,'Samlet budsjett'!A151,Prosjekt!G:G)</f>
        <v>0</v>
      </c>
    </row>
    <row r="152" spans="1:13" hidden="1" outlineLevel="1" collapsed="1" x14ac:dyDescent="0.3">
      <c r="A152" s="10" t="s">
        <v>119</v>
      </c>
      <c r="B152" s="50">
        <f t="shared" si="30"/>
        <v>0</v>
      </c>
      <c r="C152" s="50">
        <f>SUMIF(Hovedlaget!B:B,'Samlet budsjett'!A152,Hovedlaget!AB:AB)</f>
        <v>0</v>
      </c>
      <c r="D152" s="50">
        <f>SUMIF(Allidrett!B:B,'Samlet budsjett'!A152,Allidrett!AB:AB)</f>
        <v>0</v>
      </c>
      <c r="E152" s="50">
        <f>SUMIF(Bueskyting!B:B,'Samlet budsjett'!A152,Bueskyting!AB:AB)</f>
        <v>0</v>
      </c>
      <c r="F152" s="50">
        <f>SUMIF(Tennis!B:B,'Samlet budsjett'!A152,Tennis!AB:AB)</f>
        <v>0</v>
      </c>
      <c r="G152" s="50">
        <f>SUMIF(Svømming!B:B,'Samlet budsjett'!A152,Svømming!AB:AB)</f>
        <v>0</v>
      </c>
      <c r="H152" s="50">
        <f>SUMIF(Fotball!B:B,'Samlet budsjett'!A152,Fotball!AB:AB)</f>
        <v>0</v>
      </c>
      <c r="I152" s="50">
        <f>SUMIF(Håndball!B:B,'Samlet budsjett'!A152,Håndball!AB:AB)</f>
        <v>0</v>
      </c>
      <c r="J152" s="50">
        <f>SUMIF(Futsal!B:B,'Samlet budsjett'!A:A,Futsal!AB:AB)</f>
        <v>0</v>
      </c>
      <c r="K152" s="50">
        <f>SUMIF('Tur og Friluftsliv'!B:B,'Samlet budsjett'!A152,'Tur og Friluftsliv'!AB:AB)</f>
        <v>0</v>
      </c>
      <c r="L152" s="50">
        <f>SUMIF('E-sport'!B:B,'Samlet budsjett'!A152,'E-sport'!AB:AB)</f>
        <v>0</v>
      </c>
      <c r="M152" s="50">
        <f>SUMIF(Prosjekt!B:B,'Samlet budsjett'!A152,Prosjekt!G:G)</f>
        <v>0</v>
      </c>
    </row>
    <row r="153" spans="1:13" collapsed="1" x14ac:dyDescent="0.3">
      <c r="A153" s="8" t="s">
        <v>13</v>
      </c>
      <c r="B153" s="49">
        <f t="shared" si="30"/>
        <v>246000</v>
      </c>
      <c r="C153" s="49">
        <f t="shared" ref="C153:K153" si="31">SUM(C154:C160)</f>
        <v>30600</v>
      </c>
      <c r="D153" s="49">
        <f>SUM(D154:D160)</f>
        <v>0</v>
      </c>
      <c r="E153" s="49">
        <f>SUM(E154:E160)</f>
        <v>0</v>
      </c>
      <c r="F153" s="49">
        <f>SUM(F154:F160)</f>
        <v>0</v>
      </c>
      <c r="G153" s="49">
        <f>SUM(G154:G160)</f>
        <v>65000</v>
      </c>
      <c r="H153" s="49">
        <f>SUM(H154:H160)</f>
        <v>120000</v>
      </c>
      <c r="I153" s="49">
        <f t="shared" ref="I153" si="32">SUM(I154:I160)</f>
        <v>24000</v>
      </c>
      <c r="J153" s="49">
        <f>SUM(J154:J160)</f>
        <v>0</v>
      </c>
      <c r="K153" s="49">
        <f t="shared" si="31"/>
        <v>6400</v>
      </c>
      <c r="L153" s="49">
        <f t="shared" ref="L153:M153" si="33">SUM(L154:L160)</f>
        <v>0</v>
      </c>
      <c r="M153" s="49">
        <f t="shared" si="33"/>
        <v>0</v>
      </c>
    </row>
    <row r="154" spans="1:13" hidden="1" outlineLevel="1" x14ac:dyDescent="0.3">
      <c r="A154" s="10" t="s">
        <v>120</v>
      </c>
      <c r="B154" s="50">
        <f t="shared" si="30"/>
        <v>28000</v>
      </c>
      <c r="C154" s="50">
        <f>SUMIF(Hovedlaget!B:B,'Samlet budsjett'!A154,Hovedlaget!AB:AB)</f>
        <v>21600</v>
      </c>
      <c r="D154" s="50">
        <f>SUMIF(Allidrett!B:B,'Samlet budsjett'!A154,Allidrett!AB:AB)</f>
        <v>0</v>
      </c>
      <c r="E154" s="50">
        <f>SUMIF(Bueskyting!B:B,'Samlet budsjett'!A154,Bueskyting!AB:AB)</f>
        <v>0</v>
      </c>
      <c r="F154" s="50">
        <f>SUMIF(Tennis!B:B,'Samlet budsjett'!A154,Tennis!AB:AB)</f>
        <v>0</v>
      </c>
      <c r="G154" s="50">
        <f>SUMIF(Svømming!B:B,'Samlet budsjett'!A154,Svømming!AB:AB)</f>
        <v>0</v>
      </c>
      <c r="H154" s="50">
        <f>SUMIF(Fotball!B:B,'Samlet budsjett'!A154,Fotball!AB:AB)</f>
        <v>0</v>
      </c>
      <c r="I154" s="50">
        <f>SUMIF(Håndball!B:B,'Samlet budsjett'!A154,Håndball!AB:AB)</f>
        <v>0</v>
      </c>
      <c r="J154" s="50">
        <f>SUMIF(Futsal!B:B,'Samlet budsjett'!A:A,Futsal!AB:AB)</f>
        <v>0</v>
      </c>
      <c r="K154" s="50">
        <f>SUMIF('Tur og Friluftsliv'!B:B,'Samlet budsjett'!A154,'Tur og Friluftsliv'!AB:AB)</f>
        <v>6400</v>
      </c>
      <c r="L154" s="50">
        <f>SUMIF('E-sport'!B:B,'Samlet budsjett'!A154,'E-sport'!AB:AB)</f>
        <v>0</v>
      </c>
      <c r="M154" s="50">
        <f>SUMIF(Prosjekt!B:B,'Samlet budsjett'!A154,Prosjekt!G:G)</f>
        <v>0</v>
      </c>
    </row>
    <row r="155" spans="1:13" hidden="1" outlineLevel="1" collapsed="1" x14ac:dyDescent="0.3">
      <c r="A155" s="10" t="s">
        <v>121</v>
      </c>
      <c r="B155" s="50">
        <f t="shared" si="30"/>
        <v>1000</v>
      </c>
      <c r="C155" s="50">
        <f>SUMIF(Hovedlaget!B:B,'Samlet budsjett'!A155,Hovedlaget!AB:AB)</f>
        <v>1000</v>
      </c>
      <c r="D155" s="50">
        <f>SUMIF(Allidrett!B:B,'Samlet budsjett'!A155,Allidrett!AB:AB)</f>
        <v>0</v>
      </c>
      <c r="E155" s="50">
        <f>SUMIF(Bueskyting!B:B,'Samlet budsjett'!A155,Bueskyting!AB:AB)</f>
        <v>0</v>
      </c>
      <c r="F155" s="50">
        <f>SUMIF(Tennis!B:B,'Samlet budsjett'!A155,Tennis!AB:AB)</f>
        <v>0</v>
      </c>
      <c r="G155" s="50">
        <f>SUMIF(Svømming!B:B,'Samlet budsjett'!A155,Svømming!AB:AB)</f>
        <v>0</v>
      </c>
      <c r="H155" s="50">
        <f>SUMIF(Fotball!B:B,'Samlet budsjett'!A155,Fotball!AB:AB)</f>
        <v>0</v>
      </c>
      <c r="I155" s="50">
        <f>SUMIF(Håndball!B:B,'Samlet budsjett'!A155,Håndball!AB:AB)</f>
        <v>0</v>
      </c>
      <c r="J155" s="50">
        <f>SUMIF(Futsal!B:B,'Samlet budsjett'!A:A,Futsal!AB:AB)</f>
        <v>0</v>
      </c>
      <c r="K155" s="50">
        <f>SUMIF('Tur og Friluftsliv'!B:B,'Samlet budsjett'!A155,'Tur og Friluftsliv'!AB:AB)</f>
        <v>0</v>
      </c>
      <c r="L155" s="50">
        <f>SUMIF('E-sport'!B:B,'Samlet budsjett'!A155,'E-sport'!AB:AB)</f>
        <v>0</v>
      </c>
      <c r="M155" s="50">
        <f>SUMIF(Prosjekt!B:B,'Samlet budsjett'!A155,Prosjekt!G:G)</f>
        <v>0</v>
      </c>
    </row>
    <row r="156" spans="1:13" hidden="1" outlineLevel="1" collapsed="1" x14ac:dyDescent="0.3">
      <c r="A156" s="10" t="s">
        <v>122</v>
      </c>
      <c r="B156" s="50">
        <f t="shared" si="30"/>
        <v>0</v>
      </c>
      <c r="C156" s="50">
        <f>SUMIF(Hovedlaget!B:B,'Samlet budsjett'!A156,Hovedlaget!AB:AB)</f>
        <v>0</v>
      </c>
      <c r="D156" s="50">
        <f>SUMIF(Allidrett!B:B,'Samlet budsjett'!A156,Allidrett!AB:AB)</f>
        <v>0</v>
      </c>
      <c r="E156" s="50">
        <f>SUMIF(Bueskyting!B:B,'Samlet budsjett'!A156,Bueskyting!AB:AB)</f>
        <v>0</v>
      </c>
      <c r="F156" s="50">
        <f>SUMIF(Tennis!B:B,'Samlet budsjett'!A156,Tennis!AB:AB)</f>
        <v>0</v>
      </c>
      <c r="G156" s="50">
        <f>SUMIF(Svømming!B:B,'Samlet budsjett'!A156,Svømming!AB:AB)</f>
        <v>0</v>
      </c>
      <c r="H156" s="50">
        <f>SUMIF(Fotball!B:B,'Samlet budsjett'!A156,Fotball!AB:AB)</f>
        <v>0</v>
      </c>
      <c r="I156" s="50">
        <f>SUMIF(Håndball!B:B,'Samlet budsjett'!A156,Håndball!AB:AB)</f>
        <v>0</v>
      </c>
      <c r="J156" s="50">
        <f>SUMIF(Futsal!B:B,'Samlet budsjett'!A:A,Futsal!AB:AB)</f>
        <v>0</v>
      </c>
      <c r="K156" s="50">
        <f>SUMIF('Tur og Friluftsliv'!B:B,'Samlet budsjett'!A156,'Tur og Friluftsliv'!AB:AB)</f>
        <v>0</v>
      </c>
      <c r="L156" s="50">
        <f>SUMIF('E-sport'!B:B,'Samlet budsjett'!A156,'E-sport'!AB:AB)</f>
        <v>0</v>
      </c>
      <c r="M156" s="50">
        <f>SUMIF(Prosjekt!B:B,'Samlet budsjett'!A156,Prosjekt!G:G)</f>
        <v>0</v>
      </c>
    </row>
    <row r="157" spans="1:13" hidden="1" outlineLevel="1" collapsed="1" x14ac:dyDescent="0.3">
      <c r="A157" s="10" t="s">
        <v>123</v>
      </c>
      <c r="B157" s="50">
        <f t="shared" si="30"/>
        <v>202600</v>
      </c>
      <c r="C157" s="50">
        <f>SUMIF(Hovedlaget!B:B,'Samlet budsjett'!A157,Hovedlaget!AB:AB)</f>
        <v>8000</v>
      </c>
      <c r="D157" s="50">
        <f>SUMIF(Allidrett!B:B,'Samlet budsjett'!A157,Allidrett!AB:AB)</f>
        <v>0</v>
      </c>
      <c r="E157" s="50">
        <f>SUMIF(Bueskyting!B:B,'Samlet budsjett'!A157,Bueskyting!AB:AB)</f>
        <v>0</v>
      </c>
      <c r="F157" s="50">
        <f>SUMIF(Tennis!B:B,'Samlet budsjett'!A157,Tennis!AB:AB)</f>
        <v>0</v>
      </c>
      <c r="G157" s="50">
        <f>SUMIF(Svømming!B:B,'Samlet budsjett'!A157,Svømming!AB:AB)</f>
        <v>62600</v>
      </c>
      <c r="H157" s="50">
        <f>SUMIF(Fotball!B:B,'Samlet budsjett'!A157,Fotball!AB:AB)</f>
        <v>120000</v>
      </c>
      <c r="I157" s="50">
        <f>SUMIF(Håndball!B:B,'Samlet budsjett'!A157,Håndball!AB:AB)</f>
        <v>12000</v>
      </c>
      <c r="J157" s="50">
        <f>SUMIF(Futsal!B:B,'Samlet budsjett'!A:A,Futsal!AB:AB)</f>
        <v>0</v>
      </c>
      <c r="K157" s="50">
        <f>SUMIF('Tur og Friluftsliv'!B:B,'Samlet budsjett'!A157,'Tur og Friluftsliv'!AB:AB)</f>
        <v>0</v>
      </c>
      <c r="L157" s="50">
        <f>SUMIF('E-sport'!B:B,'Samlet budsjett'!A157,'E-sport'!AB:AB)</f>
        <v>0</v>
      </c>
      <c r="M157" s="50">
        <f>SUMIF(Prosjekt!B:B,'Samlet budsjett'!A157,Prosjekt!G:G)</f>
        <v>0</v>
      </c>
    </row>
    <row r="158" spans="1:13" hidden="1" outlineLevel="1" x14ac:dyDescent="0.3">
      <c r="A158" s="84" t="s">
        <v>227</v>
      </c>
      <c r="B158" s="50">
        <f t="shared" si="30"/>
        <v>12000</v>
      </c>
      <c r="C158" s="50">
        <f>SUMIF(Hovedlaget!B:B,'Samlet budsjett'!A158,Hovedlaget!AB:AB)</f>
        <v>0</v>
      </c>
      <c r="D158" s="50">
        <f>SUMIF(Allidrett!B:B,'Samlet budsjett'!A158,Allidrett!AB:AB)</f>
        <v>0</v>
      </c>
      <c r="E158" s="50">
        <f>SUMIF(Bueskyting!B:B,'Samlet budsjett'!A158,Bueskyting!AB:AB)</f>
        <v>0</v>
      </c>
      <c r="F158" s="50">
        <f>SUMIF(Tennis!B:B,'Samlet budsjett'!A158,Tennis!AB:AB)</f>
        <v>0</v>
      </c>
      <c r="G158" s="50">
        <f>SUMIF(Svømming!B:B,'Samlet budsjett'!A158,Svømming!AB:AB)</f>
        <v>0</v>
      </c>
      <c r="H158" s="50">
        <f>SUMIF(Fotball!B:B,'Samlet budsjett'!A158,Fotball!AB:AB)</f>
        <v>0</v>
      </c>
      <c r="I158" s="50">
        <f>SUMIF(Håndball!B:B,'Samlet budsjett'!A158,Håndball!AB:AB)</f>
        <v>12000</v>
      </c>
      <c r="J158" s="50">
        <f>SUMIF(Futsal!B:B,'Samlet budsjett'!A:A,Futsal!AB:AB)</f>
        <v>0</v>
      </c>
      <c r="K158" s="50">
        <f>SUMIF('Tur og Friluftsliv'!B:B,'Samlet budsjett'!A158,'Tur og Friluftsliv'!AB:AB)</f>
        <v>0</v>
      </c>
      <c r="L158" s="50">
        <f>SUMIF('E-sport'!B:B,'Samlet budsjett'!A158,'E-sport'!AB:AB)</f>
        <v>0</v>
      </c>
      <c r="M158" s="50">
        <f>SUMIF(Prosjekt!B:B,'Samlet budsjett'!A158,Prosjekt!G:G)</f>
        <v>0</v>
      </c>
    </row>
    <row r="159" spans="1:13" hidden="1" outlineLevel="1" collapsed="1" x14ac:dyDescent="0.3">
      <c r="A159" s="10" t="s">
        <v>124</v>
      </c>
      <c r="B159" s="50">
        <f t="shared" si="30"/>
        <v>0</v>
      </c>
      <c r="C159" s="50">
        <f>SUMIF(Hovedlaget!B:B,'Samlet budsjett'!A159,Hovedlaget!AB:AB)</f>
        <v>0</v>
      </c>
      <c r="D159" s="50">
        <f>SUMIF(Allidrett!B:B,'Samlet budsjett'!A159,Allidrett!AB:AB)</f>
        <v>0</v>
      </c>
      <c r="E159" s="50">
        <f>SUMIF(Bueskyting!B:B,'Samlet budsjett'!A159,Bueskyting!AB:AB)</f>
        <v>0</v>
      </c>
      <c r="F159" s="50">
        <f>SUMIF(Tennis!B:B,'Samlet budsjett'!A159,Tennis!AB:AB)</f>
        <v>0</v>
      </c>
      <c r="G159" s="50">
        <f>SUMIF(Svømming!B:B,'Samlet budsjett'!A159,Svømming!AB:AB)</f>
        <v>0</v>
      </c>
      <c r="H159" s="50">
        <f>SUMIF(Fotball!B:B,'Samlet budsjett'!A159,Fotball!AB:AB)</f>
        <v>0</v>
      </c>
      <c r="I159" s="50">
        <f>SUMIF(Håndball!B:B,'Samlet budsjett'!A159,Håndball!AB:AB)</f>
        <v>0</v>
      </c>
      <c r="J159" s="50">
        <f>SUMIF(Futsal!B:B,'Samlet budsjett'!A:A,Futsal!AB:AB)</f>
        <v>0</v>
      </c>
      <c r="K159" s="50">
        <f>SUMIF('Tur og Friluftsliv'!B:B,'Samlet budsjett'!A159,'Tur og Friluftsliv'!AB:AB)</f>
        <v>0</v>
      </c>
      <c r="L159" s="50">
        <f>SUMIF('E-sport'!B:B,'Samlet budsjett'!A159,'E-sport'!AB:AB)</f>
        <v>0</v>
      </c>
      <c r="M159" s="50">
        <f>SUMIF(Prosjekt!B:B,'Samlet budsjett'!A159,Prosjekt!G:G)</f>
        <v>0</v>
      </c>
    </row>
    <row r="160" spans="1:13" hidden="1" outlineLevel="1" collapsed="1" x14ac:dyDescent="0.3">
      <c r="A160" s="10" t="s">
        <v>125</v>
      </c>
      <c r="B160" s="50">
        <f t="shared" si="30"/>
        <v>2400</v>
      </c>
      <c r="C160" s="50">
        <f>SUMIF(Hovedlaget!B:B,'Samlet budsjett'!A160,Hovedlaget!AB:AB)</f>
        <v>0</v>
      </c>
      <c r="D160" s="50">
        <f>SUMIF(Allidrett!B:B,'Samlet budsjett'!A160,Allidrett!AB:AB)</f>
        <v>0</v>
      </c>
      <c r="E160" s="50">
        <f>SUMIF(Bueskyting!B:B,'Samlet budsjett'!A160,Bueskyting!AB:AB)</f>
        <v>0</v>
      </c>
      <c r="F160" s="50">
        <f>SUMIF(Tennis!B:B,'Samlet budsjett'!A160,Tennis!AB:AB)</f>
        <v>0</v>
      </c>
      <c r="G160" s="50">
        <f>SUMIF(Svømming!B:B,'Samlet budsjett'!A160,Svømming!AB:AB)</f>
        <v>2400</v>
      </c>
      <c r="H160" s="50">
        <f>SUMIF(Fotball!B:B,'Samlet budsjett'!A160,Fotball!AB:AB)</f>
        <v>0</v>
      </c>
      <c r="I160" s="50">
        <f>SUMIF(Håndball!B:B,'Samlet budsjett'!A160,Håndball!AB:AB)</f>
        <v>0</v>
      </c>
      <c r="J160" s="50">
        <f>SUMIF(Futsal!B:B,'Samlet budsjett'!A:A,Futsal!AB:AB)</f>
        <v>0</v>
      </c>
      <c r="K160" s="50">
        <f>SUMIF('Tur og Friluftsliv'!B:B,'Samlet budsjett'!A160,'Tur og Friluftsliv'!AB:AB)</f>
        <v>0</v>
      </c>
      <c r="L160" s="50">
        <f>SUMIF('E-sport'!B:B,'Samlet budsjett'!A160,'E-sport'!AB:AB)</f>
        <v>0</v>
      </c>
      <c r="M160" s="50">
        <f>SUMIF(Prosjekt!B:B,'Samlet budsjett'!A160,Prosjekt!G:G)</f>
        <v>0</v>
      </c>
    </row>
    <row r="161" spans="1:13" collapsed="1" x14ac:dyDescent="0.3">
      <c r="A161" s="8" t="s">
        <v>14</v>
      </c>
      <c r="B161" s="49">
        <f t="shared" si="30"/>
        <v>0</v>
      </c>
      <c r="C161" s="49">
        <v>0</v>
      </c>
      <c r="D161" s="49">
        <v>0</v>
      </c>
      <c r="E161" s="49">
        <v>0</v>
      </c>
      <c r="F161" s="49">
        <v>0</v>
      </c>
      <c r="G161" s="49">
        <v>0</v>
      </c>
      <c r="H161" s="49">
        <v>0</v>
      </c>
      <c r="I161" s="49">
        <v>0</v>
      </c>
      <c r="J161" s="49">
        <v>0</v>
      </c>
      <c r="K161" s="49">
        <v>0</v>
      </c>
      <c r="L161" s="49">
        <v>0</v>
      </c>
      <c r="M161" s="49">
        <v>0</v>
      </c>
    </row>
    <row r="162" spans="1:13" collapsed="1" x14ac:dyDescent="0.3">
      <c r="A162" s="8" t="s">
        <v>15</v>
      </c>
      <c r="B162" s="49">
        <f t="shared" si="30"/>
        <v>0</v>
      </c>
      <c r="C162" s="49">
        <f t="shared" ref="C162:M162" si="34">C163</f>
        <v>0</v>
      </c>
      <c r="D162" s="49">
        <f t="shared" ref="D162:J162" si="35">D163</f>
        <v>0</v>
      </c>
      <c r="E162" s="49">
        <f t="shared" si="35"/>
        <v>0</v>
      </c>
      <c r="F162" s="49">
        <f t="shared" si="35"/>
        <v>0</v>
      </c>
      <c r="G162" s="49">
        <f t="shared" si="35"/>
        <v>0</v>
      </c>
      <c r="H162" s="49">
        <f t="shared" si="35"/>
        <v>0</v>
      </c>
      <c r="I162" s="49">
        <f t="shared" si="35"/>
        <v>0</v>
      </c>
      <c r="J162" s="49">
        <f t="shared" si="35"/>
        <v>0</v>
      </c>
      <c r="K162" s="49">
        <f t="shared" si="34"/>
        <v>0</v>
      </c>
      <c r="L162" s="49">
        <f t="shared" si="34"/>
        <v>0</v>
      </c>
      <c r="M162" s="49">
        <f t="shared" si="34"/>
        <v>0</v>
      </c>
    </row>
    <row r="163" spans="1:13" hidden="1" outlineLevel="1" x14ac:dyDescent="0.3">
      <c r="A163" s="10" t="s">
        <v>126</v>
      </c>
      <c r="B163" s="50">
        <f t="shared" si="30"/>
        <v>0</v>
      </c>
      <c r="C163" s="50">
        <f>SUMIF(Hovedlaget!B:B,'Samlet budsjett'!A163,Hovedlaget!AB:AB)</f>
        <v>0</v>
      </c>
      <c r="D163" s="50">
        <f>SUMIF(Allidrett!B:B,'Samlet budsjett'!A163,Allidrett!AB:AB)</f>
        <v>0</v>
      </c>
      <c r="E163" s="50">
        <f>SUMIF(Bueskyting!B:B,'Samlet budsjett'!A163,Bueskyting!AB:AB)</f>
        <v>0</v>
      </c>
      <c r="F163" s="50">
        <f>SUMIF(Tennis!B:B,'Samlet budsjett'!A163,Tennis!AB:AB)</f>
        <v>0</v>
      </c>
      <c r="G163" s="50">
        <f>SUMIF(Svømming!B:B,'Samlet budsjett'!A163,Svømming!AB:AB)</f>
        <v>0</v>
      </c>
      <c r="H163" s="50">
        <f>SUMIF(Fotball!B:B,'Samlet budsjett'!A163,Fotball!AB:AB)</f>
        <v>0</v>
      </c>
      <c r="I163" s="50">
        <f>SUMIF(Håndball!B:B,'Samlet budsjett'!A163,Håndball!AB:AB)</f>
        <v>0</v>
      </c>
      <c r="J163" s="50">
        <f>SUMIF(Futsal!B:B,'Samlet budsjett'!A:A,Futsal!AB:AB)</f>
        <v>0</v>
      </c>
      <c r="K163" s="50">
        <f>SUMIF('Tur og Friluftsliv'!B:B,'Samlet budsjett'!A163,'Tur og Friluftsliv'!AB:AB)</f>
        <v>0</v>
      </c>
      <c r="L163" s="50">
        <f>SUMIF('E-sport'!B:B,'Samlet budsjett'!A163,'E-sport'!AB:AB)</f>
        <v>0</v>
      </c>
      <c r="M163" s="50">
        <f>SUMIF(Prosjekt!B:B,'Samlet budsjett'!A163,Prosjekt!G:G)</f>
        <v>0</v>
      </c>
    </row>
    <row r="164" spans="1:13" collapsed="1" x14ac:dyDescent="0.3">
      <c r="A164" s="8" t="s">
        <v>16</v>
      </c>
      <c r="B164" s="49">
        <f t="shared" si="30"/>
        <v>35200</v>
      </c>
      <c r="C164" s="49">
        <f t="shared" ref="C164:K164" si="36">SUM(C165:C166)</f>
        <v>6000</v>
      </c>
      <c r="D164" s="49">
        <f>SUM(D165:D166)</f>
        <v>9000</v>
      </c>
      <c r="E164" s="49">
        <f>SUM(E165:E166)</f>
        <v>0</v>
      </c>
      <c r="F164" s="49">
        <f>SUM(F165:F166)</f>
        <v>0</v>
      </c>
      <c r="G164" s="49">
        <f>SUM(G165:G166)</f>
        <v>20200</v>
      </c>
      <c r="H164" s="49">
        <f>SUM(H165:H166)</f>
        <v>0</v>
      </c>
      <c r="I164" s="49">
        <f t="shared" ref="I164" si="37">SUM(I165:I166)</f>
        <v>0</v>
      </c>
      <c r="J164" s="49">
        <f>SUM(J165:J166)</f>
        <v>0</v>
      </c>
      <c r="K164" s="49">
        <f t="shared" si="36"/>
        <v>0</v>
      </c>
      <c r="L164" s="49">
        <f t="shared" ref="L164:M164" si="38">SUM(L165:L166)</f>
        <v>0</v>
      </c>
      <c r="M164" s="49">
        <f t="shared" si="38"/>
        <v>0</v>
      </c>
    </row>
    <row r="165" spans="1:13" hidden="1" outlineLevel="1" x14ac:dyDescent="0.3">
      <c r="A165" s="10" t="s">
        <v>127</v>
      </c>
      <c r="B165" s="50">
        <f t="shared" si="30"/>
        <v>29200</v>
      </c>
      <c r="C165" s="50">
        <f>SUMIF(Hovedlaget!B:B,'Samlet budsjett'!A165,Hovedlaget!AB:AB)</f>
        <v>0</v>
      </c>
      <c r="D165" s="50">
        <f>SUMIF(Allidrett!B:B,'Samlet budsjett'!A165,Allidrett!AB:AB)</f>
        <v>9000</v>
      </c>
      <c r="E165" s="50">
        <f>SUMIF(Bueskyting!B:B,'Samlet budsjett'!A165,Bueskyting!AB:AB)</f>
        <v>0</v>
      </c>
      <c r="F165" s="50">
        <f>SUMIF(Tennis!B:B,'Samlet budsjett'!A165,Tennis!AB:AB)</f>
        <v>0</v>
      </c>
      <c r="G165" s="50">
        <f>SUMIF(Svømming!B:B,'Samlet budsjett'!A165,Svømming!AB:AB)</f>
        <v>20200</v>
      </c>
      <c r="H165" s="50">
        <f>SUMIF(Fotball!B:B,'Samlet budsjett'!A165,Fotball!AB:AB)</f>
        <v>0</v>
      </c>
      <c r="I165" s="50">
        <f>SUMIF(Håndball!B:B,'Samlet budsjett'!A165,Håndball!AB:AB)</f>
        <v>0</v>
      </c>
      <c r="J165" s="50">
        <f>SUMIF(Futsal!B:B,'Samlet budsjett'!A:A,Futsal!AB:AB)</f>
        <v>0</v>
      </c>
      <c r="K165" s="50">
        <f>SUMIF('Tur og Friluftsliv'!B:B,'Samlet budsjett'!A165,'Tur og Friluftsliv'!AB:AB)</f>
        <v>0</v>
      </c>
      <c r="L165" s="50">
        <f>SUMIF('E-sport'!B:B,'Samlet budsjett'!A165,'E-sport'!AB:AB)</f>
        <v>0</v>
      </c>
      <c r="M165" s="50">
        <f>SUMIF(Prosjekt!B:B,'Samlet budsjett'!A165,Prosjekt!G:G)</f>
        <v>0</v>
      </c>
    </row>
    <row r="166" spans="1:13" hidden="1" outlineLevel="1" collapsed="1" x14ac:dyDescent="0.3">
      <c r="A166" s="10" t="s">
        <v>128</v>
      </c>
      <c r="B166" s="50">
        <f t="shared" si="30"/>
        <v>6000</v>
      </c>
      <c r="C166" s="50">
        <f>SUMIF(Hovedlaget!B:B,'Samlet budsjett'!A166,Hovedlaget!AB:AB)</f>
        <v>6000</v>
      </c>
      <c r="D166" s="50">
        <f>SUMIF(Allidrett!B:B,'Samlet budsjett'!A166,Allidrett!AB:AB)</f>
        <v>0</v>
      </c>
      <c r="E166" s="50">
        <f>SUMIF(Bueskyting!B:B,'Samlet budsjett'!A166,Bueskyting!AB:AB)</f>
        <v>0</v>
      </c>
      <c r="F166" s="50">
        <f>SUMIF(Tennis!B:B,'Samlet budsjett'!A166,Tennis!AB:AB)</f>
        <v>0</v>
      </c>
      <c r="G166" s="50">
        <f>SUMIF(Svømming!B:B,'Samlet budsjett'!A166,Svømming!AB:AB)</f>
        <v>0</v>
      </c>
      <c r="H166" s="50">
        <f>SUMIF(Fotball!B:B,'Samlet budsjett'!A166,Fotball!AB:AB)</f>
        <v>0</v>
      </c>
      <c r="I166" s="50">
        <f>SUMIF(Håndball!B:B,'Samlet budsjett'!A166,Håndball!AB:AB)</f>
        <v>0</v>
      </c>
      <c r="J166" s="50">
        <f>SUMIF(Futsal!B:B,'Samlet budsjett'!A:A,Futsal!AB:AB)</f>
        <v>0</v>
      </c>
      <c r="K166" s="50">
        <f>SUMIF('Tur og Friluftsliv'!B:B,'Samlet budsjett'!A166,'Tur og Friluftsliv'!AB:AB)</f>
        <v>0</v>
      </c>
      <c r="L166" s="50">
        <f>SUMIF('E-sport'!B:B,'Samlet budsjett'!A166,'E-sport'!AB:AB)</f>
        <v>0</v>
      </c>
      <c r="M166" s="50">
        <f>SUMIF(Prosjekt!B:B,'Samlet budsjett'!A166,Prosjekt!G:G)</f>
        <v>0</v>
      </c>
    </row>
    <row r="167" spans="1:13" collapsed="1" x14ac:dyDescent="0.3">
      <c r="A167" s="8" t="s">
        <v>5</v>
      </c>
      <c r="B167" s="49">
        <f t="shared" si="30"/>
        <v>350000</v>
      </c>
      <c r="C167" s="49">
        <f t="shared" ref="C167:M167" si="39">SUM(C168)</f>
        <v>350000</v>
      </c>
      <c r="D167" s="49">
        <f t="shared" ref="D167:J167" si="40">SUM(D168)</f>
        <v>0</v>
      </c>
      <c r="E167" s="49">
        <f t="shared" si="40"/>
        <v>0</v>
      </c>
      <c r="F167" s="49">
        <f t="shared" si="40"/>
        <v>0</v>
      </c>
      <c r="G167" s="49">
        <f t="shared" si="40"/>
        <v>0</v>
      </c>
      <c r="H167" s="49">
        <f t="shared" si="40"/>
        <v>0</v>
      </c>
      <c r="I167" s="49">
        <f t="shared" si="40"/>
        <v>0</v>
      </c>
      <c r="J167" s="49">
        <f t="shared" si="40"/>
        <v>0</v>
      </c>
      <c r="K167" s="49">
        <f t="shared" si="39"/>
        <v>0</v>
      </c>
      <c r="L167" s="49">
        <f t="shared" si="39"/>
        <v>0</v>
      </c>
      <c r="M167" s="49">
        <f t="shared" si="39"/>
        <v>0</v>
      </c>
    </row>
    <row r="168" spans="1:13" hidden="1" outlineLevel="1" x14ac:dyDescent="0.3">
      <c r="A168" s="10" t="s">
        <v>129</v>
      </c>
      <c r="B168" s="50">
        <f t="shared" si="30"/>
        <v>350000</v>
      </c>
      <c r="C168" s="50">
        <f>SUMIF(Hovedlaget!B:B,'Samlet budsjett'!A168,Hovedlaget!AB:AB)</f>
        <v>350000</v>
      </c>
      <c r="D168" s="50">
        <f>SUMIF(Allidrett!B:B,'Samlet budsjett'!A168,Allidrett!AB:AB)</f>
        <v>0</v>
      </c>
      <c r="E168" s="50">
        <f>SUMIF(Bueskyting!B:B,'Samlet budsjett'!A168,Bueskyting!AB:AB)</f>
        <v>0</v>
      </c>
      <c r="F168" s="50">
        <f>SUMIF(Tennis!B:B,'Samlet budsjett'!A168,Tennis!AB:AB)</f>
        <v>0</v>
      </c>
      <c r="G168" s="50">
        <f>SUMIF(Svømming!B:B,'Samlet budsjett'!A168,Svømming!AB:AB)</f>
        <v>0</v>
      </c>
      <c r="H168" s="50">
        <f>SUMIF(Fotball!B:B,'Samlet budsjett'!A168,Fotball!AB:AB)</f>
        <v>0</v>
      </c>
      <c r="I168" s="50">
        <f>SUMIF(Håndball!B:B,'Samlet budsjett'!A168,Håndball!AB:AB)</f>
        <v>0</v>
      </c>
      <c r="J168" s="50">
        <f>SUMIF(Futsal!B:B,'Samlet budsjett'!A:A,Futsal!AB:AB)</f>
        <v>0</v>
      </c>
      <c r="K168" s="50">
        <f>SUMIF('Tur og Friluftsliv'!B:B,'Samlet budsjett'!A168,'Tur og Friluftsliv'!AB:AB)</f>
        <v>0</v>
      </c>
      <c r="L168" s="50">
        <f>SUMIF('E-sport'!B:B,'Samlet budsjett'!A168,'E-sport'!AB:AB)</f>
        <v>0</v>
      </c>
      <c r="M168" s="50">
        <f>SUMIF(Prosjekt!B:B,'Samlet budsjett'!A168,Prosjekt!G:G)</f>
        <v>0</v>
      </c>
    </row>
    <row r="169" spans="1:13" collapsed="1" x14ac:dyDescent="0.3">
      <c r="A169" s="8" t="s">
        <v>17</v>
      </c>
      <c r="B169" s="49">
        <f t="shared" si="30"/>
        <v>292352</v>
      </c>
      <c r="C169" s="49">
        <f t="shared" ref="C169:K169" si="41">SUM(C170:C178)</f>
        <v>174500</v>
      </c>
      <c r="D169" s="49">
        <f>SUM(D170:D178)</f>
        <v>750</v>
      </c>
      <c r="E169" s="49">
        <f>SUM(E170:E178)</f>
        <v>1120</v>
      </c>
      <c r="F169" s="49">
        <f>SUM(F170:F178)</f>
        <v>872</v>
      </c>
      <c r="G169" s="49">
        <f>SUM(G170:G178)</f>
        <v>26750</v>
      </c>
      <c r="H169" s="49">
        <f>SUM(H170:H178)</f>
        <v>80000</v>
      </c>
      <c r="I169" s="49">
        <f t="shared" ref="I169" si="42">SUM(I170:I178)</f>
        <v>0</v>
      </c>
      <c r="J169" s="49">
        <f>SUM(J170:J178)</f>
        <v>5200</v>
      </c>
      <c r="K169" s="49">
        <f t="shared" si="41"/>
        <v>3160</v>
      </c>
      <c r="L169" s="49">
        <f t="shared" ref="L169:M169" si="43">SUM(L170:L178)</f>
        <v>0</v>
      </c>
      <c r="M169" s="49">
        <f t="shared" si="43"/>
        <v>0</v>
      </c>
    </row>
    <row r="170" spans="1:13" hidden="1" outlineLevel="1" x14ac:dyDescent="0.3">
      <c r="A170" s="10" t="s">
        <v>130</v>
      </c>
      <c r="B170" s="50">
        <f t="shared" si="30"/>
        <v>240700</v>
      </c>
      <c r="C170" s="50">
        <f>SUMIF(Hovedlaget!B:B,'Samlet budsjett'!A170,Hovedlaget!AB:AB)</f>
        <v>154000</v>
      </c>
      <c r="D170" s="50">
        <f>SUMIF(Allidrett!B:B,'Samlet budsjett'!A170,Allidrett!AB:AB)</f>
        <v>0</v>
      </c>
      <c r="E170" s="50">
        <f>SUMIF(Bueskyting!B:B,'Samlet budsjett'!A170,Bueskyting!AB:AB)</f>
        <v>0</v>
      </c>
      <c r="F170" s="50">
        <f>SUMIF(Tennis!B:B,'Samlet budsjett'!A170,Tennis!AB:AB)</f>
        <v>0</v>
      </c>
      <c r="G170" s="50">
        <f>SUMIF(Svømming!B:B,'Samlet budsjett'!A170,Svømming!AB:AB)</f>
        <v>1500</v>
      </c>
      <c r="H170" s="50">
        <f>SUMIF(Fotball!B:B,'Samlet budsjett'!A170,Fotball!AB:AB)</f>
        <v>80000</v>
      </c>
      <c r="I170" s="50">
        <f>SUMIF(Håndball!B:B,'Samlet budsjett'!A170,Håndball!AB:AB)</f>
        <v>0</v>
      </c>
      <c r="J170" s="50">
        <f>SUMIF(Futsal!B:B,'Samlet budsjett'!A:A,Futsal!AB:AB)</f>
        <v>5200</v>
      </c>
      <c r="K170" s="50">
        <f>SUMIF('Tur og Friluftsliv'!B:B,'Samlet budsjett'!A170,'Tur og Friluftsliv'!AB:AB)</f>
        <v>0</v>
      </c>
      <c r="L170" s="50">
        <f>SUMIF('E-sport'!B:B,'Samlet budsjett'!A170,'E-sport'!AB:AB)</f>
        <v>0</v>
      </c>
      <c r="M170" s="50">
        <f>SUMIF(Prosjekt!B:B,'Samlet budsjett'!A170,Prosjekt!G:G)</f>
        <v>0</v>
      </c>
    </row>
    <row r="171" spans="1:13" hidden="1" outlineLevel="1" x14ac:dyDescent="0.3">
      <c r="A171" s="38" t="s">
        <v>183</v>
      </c>
      <c r="B171" s="50">
        <f t="shared" si="30"/>
        <v>24000</v>
      </c>
      <c r="C171" s="50">
        <f>SUMIF(Hovedlaget!B:B,'Samlet budsjett'!A171,Hovedlaget!AB:AB)</f>
        <v>0</v>
      </c>
      <c r="D171" s="50">
        <f>SUMIF(Allidrett!B:B,'Samlet budsjett'!A171,Allidrett!AB:AB)</f>
        <v>0</v>
      </c>
      <c r="E171" s="50">
        <f>SUMIF(Bueskyting!B:B,'Samlet budsjett'!A171,Bueskyting!AB:AB)</f>
        <v>0</v>
      </c>
      <c r="F171" s="50">
        <f>SUMIF(Tennis!B:B,'Samlet budsjett'!A171,Tennis!AB:AB)</f>
        <v>0</v>
      </c>
      <c r="G171" s="50">
        <f>SUMIF(Svømming!B:B,'Samlet budsjett'!A171,Svømming!AB:AB)</f>
        <v>24000</v>
      </c>
      <c r="H171" s="50">
        <f>SUMIF(Fotball!B:B,'Samlet budsjett'!A171,Fotball!AB:AB)</f>
        <v>0</v>
      </c>
      <c r="I171" s="50">
        <f>SUMIF(Håndball!B:B,'Samlet budsjett'!A171,Håndball!AB:AB)</f>
        <v>0</v>
      </c>
      <c r="J171" s="50">
        <f>SUMIF(Futsal!B:B,'Samlet budsjett'!A:A,Futsal!AB:AB)</f>
        <v>0</v>
      </c>
      <c r="K171" s="50">
        <f>SUMIF('Tur og Friluftsliv'!B:B,'Samlet budsjett'!A171,'Tur og Friluftsliv'!AB:AB)</f>
        <v>0</v>
      </c>
      <c r="L171" s="50">
        <f>SUMIF('E-sport'!B:B,'Samlet budsjett'!A171,'E-sport'!AB:AB)</f>
        <v>0</v>
      </c>
      <c r="M171" s="50">
        <f>SUMIF(Prosjekt!B:B,'Samlet budsjett'!A171,Prosjekt!G:G)</f>
        <v>0</v>
      </c>
    </row>
    <row r="172" spans="1:13" hidden="1" outlineLevel="1" x14ac:dyDescent="0.3">
      <c r="A172" s="10" t="s">
        <v>167</v>
      </c>
      <c r="B172" s="50">
        <f t="shared" si="30"/>
        <v>2660</v>
      </c>
      <c r="C172" s="50">
        <f>SUMIF(Hovedlaget!B:B,'Samlet budsjett'!A172,Hovedlaget!AB:AB)</f>
        <v>0</v>
      </c>
      <c r="D172" s="50">
        <f>SUMIF(Allidrett!B:B,'Samlet budsjett'!A172,Allidrett!AB:AB)</f>
        <v>0</v>
      </c>
      <c r="E172" s="50">
        <f>SUMIF(Bueskyting!B:B,'Samlet budsjett'!A172,Bueskyting!AB:AB)</f>
        <v>0</v>
      </c>
      <c r="F172" s="50">
        <f>SUMIF(Tennis!B:B,'Samlet budsjett'!A172,Tennis!AB:AB)</f>
        <v>0</v>
      </c>
      <c r="G172" s="50">
        <f>SUMIF(Svømming!B:B,'Samlet budsjett'!A172,Svømming!AB:AB)</f>
        <v>0</v>
      </c>
      <c r="H172" s="50">
        <f>SUMIF(Fotball!B:B,'Samlet budsjett'!A172,Fotball!AB:AB)</f>
        <v>0</v>
      </c>
      <c r="I172" s="50">
        <f>SUMIF(Håndball!B:B,'Samlet budsjett'!A172,Håndball!AB:AB)</f>
        <v>0</v>
      </c>
      <c r="J172" s="50">
        <f>SUMIF(Futsal!B:B,'Samlet budsjett'!A:A,Futsal!AB:AB)</f>
        <v>0</v>
      </c>
      <c r="K172" s="50">
        <f>SUMIF('Tur og Friluftsliv'!B:B,'Samlet budsjett'!A172,'Tur og Friluftsliv'!AB:AB)</f>
        <v>2660</v>
      </c>
      <c r="L172" s="50">
        <f>SUMIF('E-sport'!B:B,'Samlet budsjett'!A172,'E-sport'!AB:AB)</f>
        <v>0</v>
      </c>
      <c r="M172" s="50">
        <f>SUMIF(Prosjekt!B:B,'Samlet budsjett'!A172,Prosjekt!G:G)</f>
        <v>0</v>
      </c>
    </row>
    <row r="173" spans="1:13" hidden="1" outlineLevel="1" collapsed="1" x14ac:dyDescent="0.3">
      <c r="A173" s="10" t="s">
        <v>131</v>
      </c>
      <c r="B173" s="50">
        <f t="shared" si="30"/>
        <v>0</v>
      </c>
      <c r="C173" s="50">
        <f>SUMIF(Hovedlaget!B:B,'Samlet budsjett'!A173,Hovedlaget!AB:AB)</f>
        <v>0</v>
      </c>
      <c r="D173" s="50">
        <f>SUMIF(Allidrett!B:B,'Samlet budsjett'!A173,Allidrett!AB:AB)</f>
        <v>0</v>
      </c>
      <c r="E173" s="50">
        <f>SUMIF(Bueskyting!B:B,'Samlet budsjett'!A173,Bueskyting!AB:AB)</f>
        <v>0</v>
      </c>
      <c r="F173" s="50">
        <f>SUMIF(Tennis!B:B,'Samlet budsjett'!A173,Tennis!AB:AB)</f>
        <v>0</v>
      </c>
      <c r="G173" s="50">
        <f>SUMIF(Svømming!B:B,'Samlet budsjett'!A173,Svømming!AB:AB)</f>
        <v>0</v>
      </c>
      <c r="H173" s="50">
        <f>SUMIF(Fotball!B:B,'Samlet budsjett'!A173,Fotball!AB:AB)</f>
        <v>0</v>
      </c>
      <c r="I173" s="50">
        <f>SUMIF(Håndball!B:B,'Samlet budsjett'!A173,Håndball!AB:AB)</f>
        <v>0</v>
      </c>
      <c r="J173" s="50">
        <f>SUMIF(Futsal!B:B,'Samlet budsjett'!A:A,Futsal!AB:AB)</f>
        <v>0</v>
      </c>
      <c r="K173" s="50">
        <f>SUMIF('Tur og Friluftsliv'!B:B,'Samlet budsjett'!A173,'Tur og Friluftsliv'!AB:AB)</f>
        <v>0</v>
      </c>
      <c r="L173" s="50">
        <f>SUMIF('E-sport'!B:B,'Samlet budsjett'!A173,'E-sport'!AB:AB)</f>
        <v>0</v>
      </c>
      <c r="M173" s="50">
        <f>SUMIF(Prosjekt!B:B,'Samlet budsjett'!A173,Prosjekt!G:G)</f>
        <v>0</v>
      </c>
    </row>
    <row r="174" spans="1:13" hidden="1" outlineLevel="1" collapsed="1" x14ac:dyDescent="0.3">
      <c r="A174" s="10" t="s">
        <v>132</v>
      </c>
      <c r="B174" s="50">
        <f t="shared" si="30"/>
        <v>6972</v>
      </c>
      <c r="C174" s="50">
        <f>SUMIF(Hovedlaget!B:B,'Samlet budsjett'!A174,Hovedlaget!AB:AB)</f>
        <v>6000</v>
      </c>
      <c r="D174" s="50">
        <f>SUMIF(Allidrett!B:B,'Samlet budsjett'!A174,Allidrett!AB:AB)</f>
        <v>0</v>
      </c>
      <c r="E174" s="50">
        <f>SUMIF(Bueskyting!B:B,'Samlet budsjett'!A174,Bueskyting!AB:AB)</f>
        <v>0</v>
      </c>
      <c r="F174" s="50">
        <f>SUMIF(Tennis!B:B,'Samlet budsjett'!A174,Tennis!AB:AB)</f>
        <v>872</v>
      </c>
      <c r="G174" s="50">
        <f>SUMIF(Svømming!B:B,'Samlet budsjett'!A174,Svømming!AB:AB)</f>
        <v>100</v>
      </c>
      <c r="H174" s="50">
        <f>SUMIF(Fotball!B:B,'Samlet budsjett'!A174,Fotball!AB:AB)</f>
        <v>0</v>
      </c>
      <c r="I174" s="50">
        <f>SUMIF(Håndball!B:B,'Samlet budsjett'!A174,Håndball!AB:AB)</f>
        <v>0</v>
      </c>
      <c r="J174" s="50">
        <f>SUMIF(Futsal!B:B,'Samlet budsjett'!A:A,Futsal!AB:AB)</f>
        <v>0</v>
      </c>
      <c r="K174" s="50">
        <f>SUMIF('Tur og Friluftsliv'!B:B,'Samlet budsjett'!A174,'Tur og Friluftsliv'!AB:AB)</f>
        <v>0</v>
      </c>
      <c r="L174" s="50">
        <f>SUMIF('E-sport'!B:B,'Samlet budsjett'!A174,'E-sport'!AB:AB)</f>
        <v>0</v>
      </c>
      <c r="M174" s="50">
        <f>SUMIF(Prosjekt!B:B,'Samlet budsjett'!A174,Prosjekt!G:G)</f>
        <v>0</v>
      </c>
    </row>
    <row r="175" spans="1:13" hidden="1" outlineLevel="1" collapsed="1" x14ac:dyDescent="0.3">
      <c r="A175" s="10" t="s">
        <v>133</v>
      </c>
      <c r="B175" s="50">
        <f t="shared" si="30"/>
        <v>10420</v>
      </c>
      <c r="C175" s="50">
        <f>SUMIF(Hovedlaget!B:B,'Samlet budsjett'!A175,Hovedlaget!AB:AB)</f>
        <v>9500</v>
      </c>
      <c r="D175" s="50">
        <f>SUMIF(Allidrett!B:B,'Samlet budsjett'!A175,Allidrett!AB:AB)</f>
        <v>0</v>
      </c>
      <c r="E175" s="50">
        <f>SUMIF(Bueskyting!B:B,'Samlet budsjett'!A175,Bueskyting!AB:AB)</f>
        <v>720</v>
      </c>
      <c r="F175" s="50">
        <f>SUMIF(Tennis!B:B,'Samlet budsjett'!A175,Tennis!AB:AB)</f>
        <v>0</v>
      </c>
      <c r="G175" s="50">
        <f>SUMIF(Svømming!B:B,'Samlet budsjett'!A175,Svømming!AB:AB)</f>
        <v>200</v>
      </c>
      <c r="H175" s="50">
        <f>SUMIF(Fotball!B:B,'Samlet budsjett'!A175,Fotball!AB:AB)</f>
        <v>0</v>
      </c>
      <c r="I175" s="50">
        <f>SUMIF(Håndball!B:B,'Samlet budsjett'!A175,Håndball!AB:AB)</f>
        <v>0</v>
      </c>
      <c r="J175" s="50">
        <f>SUMIF(Futsal!B:B,'Samlet budsjett'!A:A,Futsal!AB:AB)</f>
        <v>0</v>
      </c>
      <c r="K175" s="50">
        <f>SUMIF('Tur og Friluftsliv'!B:B,'Samlet budsjett'!A175,'Tur og Friluftsliv'!AB:AB)</f>
        <v>0</v>
      </c>
      <c r="L175" s="50">
        <f>SUMIF('E-sport'!B:B,'Samlet budsjett'!A175,'E-sport'!AB:AB)</f>
        <v>0</v>
      </c>
      <c r="M175" s="50">
        <f>SUMIF(Prosjekt!B:B,'Samlet budsjett'!A175,Prosjekt!G:G)</f>
        <v>0</v>
      </c>
    </row>
    <row r="176" spans="1:13" hidden="1" outlineLevel="1" collapsed="1" x14ac:dyDescent="0.3">
      <c r="A176" s="10" t="s">
        <v>134</v>
      </c>
      <c r="B176" s="50">
        <f t="shared" si="30"/>
        <v>7600</v>
      </c>
      <c r="C176" s="50">
        <f>SUMIF(Hovedlaget!B:B,'Samlet budsjett'!A176,Hovedlaget!AB:AB)</f>
        <v>5000</v>
      </c>
      <c r="D176" s="50">
        <f>SUMIF(Allidrett!B:B,'Samlet budsjett'!A176,Allidrett!AB:AB)</f>
        <v>750</v>
      </c>
      <c r="E176" s="50">
        <f>SUMIF(Bueskyting!B:B,'Samlet budsjett'!A176,Bueskyting!AB:AB)</f>
        <v>400</v>
      </c>
      <c r="F176" s="50">
        <f>SUMIF(Tennis!B:B,'Samlet budsjett'!A176,Tennis!AB:AB)</f>
        <v>0</v>
      </c>
      <c r="G176" s="50">
        <f>SUMIF(Svømming!B:B,'Samlet budsjett'!A176,Svømming!AB:AB)</f>
        <v>950</v>
      </c>
      <c r="H176" s="50">
        <f>SUMIF(Fotball!B:B,'Samlet budsjett'!A176,Fotball!AB:AB)</f>
        <v>0</v>
      </c>
      <c r="I176" s="50">
        <f>SUMIF(Håndball!B:B,'Samlet budsjett'!A176,Håndball!AB:AB)</f>
        <v>0</v>
      </c>
      <c r="J176" s="50">
        <f>SUMIF(Futsal!B:B,'Samlet budsjett'!A:A,Futsal!AB:AB)</f>
        <v>0</v>
      </c>
      <c r="K176" s="50">
        <f>SUMIF('Tur og Friluftsliv'!B:B,'Samlet budsjett'!A176,'Tur og Friluftsliv'!AB:AB)</f>
        <v>500</v>
      </c>
      <c r="L176" s="50">
        <f>SUMIF('E-sport'!B:B,'Samlet budsjett'!A176,'E-sport'!AB:AB)</f>
        <v>0</v>
      </c>
      <c r="M176" s="50">
        <f>SUMIF(Prosjekt!B:B,'Samlet budsjett'!A176,Prosjekt!G:G)</f>
        <v>0</v>
      </c>
    </row>
    <row r="177" spans="1:13" hidden="1" outlineLevel="1" collapsed="1" x14ac:dyDescent="0.3">
      <c r="A177" s="10" t="s">
        <v>135</v>
      </c>
      <c r="B177" s="50">
        <f t="shared" si="30"/>
        <v>0</v>
      </c>
      <c r="C177" s="50">
        <f>SUMIF(Hovedlaget!B:B,'Samlet budsjett'!A177,Hovedlaget!AB:AB)</f>
        <v>0</v>
      </c>
      <c r="D177" s="50">
        <f>SUMIF(Allidrett!B:B,'Samlet budsjett'!A177,Allidrett!AB:AB)</f>
        <v>0</v>
      </c>
      <c r="E177" s="50">
        <f>SUMIF(Bueskyting!B:B,'Samlet budsjett'!A177,Bueskyting!AB:AB)</f>
        <v>0</v>
      </c>
      <c r="F177" s="50">
        <f>SUMIF(Tennis!B:B,'Samlet budsjett'!A177,Tennis!AB:AB)</f>
        <v>0</v>
      </c>
      <c r="G177" s="50">
        <f>SUMIF(Svømming!B:B,'Samlet budsjett'!A177,Svømming!AB:AB)</f>
        <v>0</v>
      </c>
      <c r="H177" s="50">
        <f>SUMIF(Fotball!B:B,'Samlet budsjett'!A177,Fotball!AB:AB)</f>
        <v>0</v>
      </c>
      <c r="I177" s="50">
        <f>SUMIF(Håndball!B:B,'Samlet budsjett'!A177,Håndball!AB:AB)</f>
        <v>0</v>
      </c>
      <c r="J177" s="50">
        <f>SUMIF(Futsal!B:B,'Samlet budsjett'!A:A,Futsal!AB:AB)</f>
        <v>0</v>
      </c>
      <c r="K177" s="50">
        <f>SUMIF('Tur og Friluftsliv'!B:B,'Samlet budsjett'!A177,'Tur og Friluftsliv'!AB:AB)</f>
        <v>0</v>
      </c>
      <c r="L177" s="50">
        <f>SUMIF('E-sport'!B:B,'Samlet budsjett'!A177,'E-sport'!AB:AB)</f>
        <v>0</v>
      </c>
      <c r="M177" s="50">
        <f>SUMIF(Prosjekt!B:B,'Samlet budsjett'!A177,Prosjekt!G:G)</f>
        <v>0</v>
      </c>
    </row>
    <row r="178" spans="1:13" hidden="1" outlineLevel="1" collapsed="1" x14ac:dyDescent="0.3">
      <c r="A178" s="10" t="s">
        <v>136</v>
      </c>
      <c r="B178" s="50">
        <f t="shared" si="30"/>
        <v>0</v>
      </c>
      <c r="C178" s="50">
        <f>SUMIF(Hovedlaget!B:B,'Samlet budsjett'!A178,Hovedlaget!AB:AB)</f>
        <v>0</v>
      </c>
      <c r="D178" s="50">
        <f>SUMIF(Allidrett!B:B,'Samlet budsjett'!A178,Allidrett!AB:AB)</f>
        <v>0</v>
      </c>
      <c r="E178" s="50">
        <f>SUMIF(Bueskyting!B:B,'Samlet budsjett'!A178,Bueskyting!AB:AB)</f>
        <v>0</v>
      </c>
      <c r="F178" s="50">
        <f>SUMIF(Tennis!B:B,'Samlet budsjett'!A178,Tennis!AB:AB)</f>
        <v>0</v>
      </c>
      <c r="G178" s="50">
        <f>SUMIF(Svømming!B:B,'Samlet budsjett'!A178,Svømming!AB:AB)</f>
        <v>0</v>
      </c>
      <c r="H178" s="50">
        <f>SUMIF(Fotball!B:B,'Samlet budsjett'!A178,Fotball!AB:AB)</f>
        <v>0</v>
      </c>
      <c r="I178" s="50">
        <f>SUMIF(Håndball!B:B,'Samlet budsjett'!A178,Håndball!AB:AB)</f>
        <v>0</v>
      </c>
      <c r="J178" s="50">
        <f>SUMIF(Futsal!B:B,'Samlet budsjett'!A:A,Futsal!AB:AB)</f>
        <v>0</v>
      </c>
      <c r="K178" s="50">
        <f>SUMIF('Tur og Friluftsliv'!B:B,'Samlet budsjett'!A178,'Tur og Friluftsliv'!AB:AB)</f>
        <v>0</v>
      </c>
      <c r="L178" s="50">
        <f>SUMIF('E-sport'!B:B,'Samlet budsjett'!A178,'E-sport'!AB:AB)</f>
        <v>0</v>
      </c>
      <c r="M178" s="50">
        <f>SUMIF(Prosjekt!B:B,'Samlet budsjett'!A178,Prosjekt!G:G)</f>
        <v>0</v>
      </c>
    </row>
    <row r="179" spans="1:13" collapsed="1" x14ac:dyDescent="0.3">
      <c r="A179" s="15" t="s">
        <v>18</v>
      </c>
      <c r="B179" s="51">
        <f t="shared" si="30"/>
        <v>16405274.29175264</v>
      </c>
      <c r="C179" s="51">
        <f t="shared" ref="C179:K179" si="44">C53+C80+C101+C153+C161+C162+C164+C167+C169</f>
        <v>5610606.9917526394</v>
      </c>
      <c r="D179" s="51">
        <f t="shared" ref="D179" si="45">D53+D80+D101+D153+D161+D162+D164+D167+D169</f>
        <v>18362</v>
      </c>
      <c r="E179" s="51">
        <f t="shared" ref="E179:J179" si="46">E53+E80+E101+E153+E161+E162+E164+E167+E169</f>
        <v>803944</v>
      </c>
      <c r="F179" s="51">
        <f t="shared" si="46"/>
        <v>174574</v>
      </c>
      <c r="G179" s="51">
        <f t="shared" si="46"/>
        <v>935774</v>
      </c>
      <c r="H179" s="51">
        <f t="shared" si="46"/>
        <v>2676482.2999999998</v>
      </c>
      <c r="I179" s="51">
        <f t="shared" si="46"/>
        <v>1087444</v>
      </c>
      <c r="J179" s="51">
        <f t="shared" si="46"/>
        <v>43840</v>
      </c>
      <c r="K179" s="51">
        <f t="shared" si="44"/>
        <v>36460</v>
      </c>
      <c r="L179" s="51">
        <f t="shared" ref="L179:M179" si="47">L53+L80+L101+L153+L161+L162+L164+L167+L169</f>
        <v>54028</v>
      </c>
      <c r="M179" s="51">
        <f t="shared" si="47"/>
        <v>4963759</v>
      </c>
    </row>
    <row r="180" spans="1:13" x14ac:dyDescent="0.3">
      <c r="A180" s="18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</row>
    <row r="181" spans="1:13" x14ac:dyDescent="0.3">
      <c r="A181" s="17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</row>
    <row r="182" spans="1:13" collapsed="1" x14ac:dyDescent="0.3">
      <c r="A182" s="8" t="s">
        <v>19</v>
      </c>
      <c r="B182" s="49">
        <f t="shared" ref="B182:B187" si="48">SUM(C182:M182)</f>
        <v>70500</v>
      </c>
      <c r="C182" s="49">
        <f t="shared" ref="C182:K182" si="49">SUM(C183:C186)</f>
        <v>70000</v>
      </c>
      <c r="D182" s="49">
        <f>SUM(D183:D186)</f>
        <v>-500</v>
      </c>
      <c r="E182" s="49">
        <f>SUM(E183:E186)</f>
        <v>0</v>
      </c>
      <c r="F182" s="49">
        <f>SUM(F183:F186)</f>
        <v>0</v>
      </c>
      <c r="G182" s="49">
        <f>SUM(G183:G186)</f>
        <v>1000</v>
      </c>
      <c r="H182" s="49">
        <f>SUM(H183:H186)</f>
        <v>0</v>
      </c>
      <c r="I182" s="49">
        <f t="shared" ref="I182" si="50">SUM(I183:I186)</f>
        <v>0</v>
      </c>
      <c r="J182" s="49">
        <f>SUM(J183:J186)</f>
        <v>0</v>
      </c>
      <c r="K182" s="49">
        <f t="shared" si="49"/>
        <v>0</v>
      </c>
      <c r="L182" s="49">
        <f t="shared" ref="L182:M182" si="51">SUM(L183:L186)</f>
        <v>0</v>
      </c>
      <c r="M182" s="49">
        <f t="shared" si="51"/>
        <v>0</v>
      </c>
    </row>
    <row r="183" spans="1:13" hidden="1" outlineLevel="1" x14ac:dyDescent="0.3">
      <c r="A183" s="10" t="s">
        <v>137</v>
      </c>
      <c r="B183" s="50">
        <f t="shared" si="48"/>
        <v>-9500</v>
      </c>
      <c r="C183" s="50">
        <f>SUMIF(Hovedlaget!B:B,'Samlet budsjett'!A183,Hovedlaget!AB:AB)</f>
        <v>-10000</v>
      </c>
      <c r="D183" s="50">
        <f>SUMIF(Allidrett!B:B,'Samlet budsjett'!A183,Allidrett!AB:AB)</f>
        <v>-500</v>
      </c>
      <c r="E183" s="50">
        <f>SUMIF(Bueskyting!B:B,'Samlet budsjett'!A183,Bueskyting!AB:AB)</f>
        <v>0</v>
      </c>
      <c r="F183" s="50">
        <f>SUMIF(Tennis!B:B,'Samlet budsjett'!A183,Tennis!AB:AB)</f>
        <v>0</v>
      </c>
      <c r="G183" s="50">
        <f>SUMIF(Svømming!B:B,'Samlet budsjett'!A183,Svømming!AB:AB)</f>
        <v>1000</v>
      </c>
      <c r="H183" s="50">
        <f>SUMIF(Fotball!B:B,'Samlet budsjett'!A183,Fotball!AB:AB)</f>
        <v>0</v>
      </c>
      <c r="I183" s="50">
        <f>SUMIF(Håndball!B:B,'Samlet budsjett'!A183,Håndball!AB:AB)</f>
        <v>0</v>
      </c>
      <c r="J183" s="50">
        <f>SUMIF(Futsal!B:B,'Samlet budsjett'!A:A,Futsal!AB:AB)</f>
        <v>0</v>
      </c>
      <c r="K183" s="50">
        <f>SUMIF('Tur og Friluftsliv'!B:B,'Samlet budsjett'!A183,'Tur og Friluftsliv'!AB:AB)</f>
        <v>0</v>
      </c>
      <c r="L183" s="50">
        <f>SUMIF('E-sport'!B:B,'Samlet budsjett'!A183,'E-sport'!AB:AB)</f>
        <v>0</v>
      </c>
      <c r="M183" s="50">
        <f>SUMIF(Prosjekt!B:B,'Samlet budsjett'!A183,Prosjekt!G:G)</f>
        <v>0</v>
      </c>
    </row>
    <row r="184" spans="1:13" hidden="1" outlineLevel="1" collapsed="1" x14ac:dyDescent="0.3">
      <c r="A184" s="10" t="s">
        <v>138</v>
      </c>
      <c r="B184" s="50">
        <f t="shared" si="48"/>
        <v>0</v>
      </c>
      <c r="C184" s="50">
        <f>SUMIF(Hovedlaget!B:B,'Samlet budsjett'!A184,Hovedlaget!AB:AB)</f>
        <v>0</v>
      </c>
      <c r="D184" s="50">
        <f>SUMIF(Allidrett!B:B,'Samlet budsjett'!A184,Allidrett!AB:AB)</f>
        <v>0</v>
      </c>
      <c r="E184" s="50">
        <f>SUMIF(Bueskyting!B:B,'Samlet budsjett'!A184,Bueskyting!AB:AB)</f>
        <v>0</v>
      </c>
      <c r="F184" s="50">
        <f>SUMIF(Tennis!B:B,'Samlet budsjett'!A184,Tennis!AB:AB)</f>
        <v>0</v>
      </c>
      <c r="G184" s="50">
        <f>SUMIF(Svømming!B:B,'Samlet budsjett'!A184,Svømming!AB:AB)</f>
        <v>0</v>
      </c>
      <c r="H184" s="50">
        <f>SUMIF(Fotball!B:B,'Samlet budsjett'!A184,Fotball!AB:AB)</f>
        <v>0</v>
      </c>
      <c r="I184" s="50">
        <f>SUMIF(Håndball!B:B,'Samlet budsjett'!A184,Håndball!AB:AB)</f>
        <v>0</v>
      </c>
      <c r="J184" s="50">
        <f>SUMIF(Futsal!B:B,'Samlet budsjett'!A:A,Futsal!AB:AB)</f>
        <v>0</v>
      </c>
      <c r="K184" s="50">
        <f>SUMIF('Tur og Friluftsliv'!B:B,'Samlet budsjett'!A184,'Tur og Friluftsliv'!AB:AB)</f>
        <v>0</v>
      </c>
      <c r="L184" s="50">
        <f>SUMIF('E-sport'!B:B,'Samlet budsjett'!A184,'E-sport'!AB:AB)</f>
        <v>0</v>
      </c>
      <c r="M184" s="50">
        <f>SUMIF(Prosjekt!B:B,'Samlet budsjett'!A184,Prosjekt!G:G)</f>
        <v>0</v>
      </c>
    </row>
    <row r="185" spans="1:13" hidden="1" outlineLevel="1" collapsed="1" x14ac:dyDescent="0.3">
      <c r="A185" s="10" t="s">
        <v>139</v>
      </c>
      <c r="B185" s="50">
        <f t="shared" si="48"/>
        <v>80000</v>
      </c>
      <c r="C185" s="50">
        <f>SUMIF(Hovedlaget!B:B,'Samlet budsjett'!A185,Hovedlaget!AB:AB)</f>
        <v>80000</v>
      </c>
      <c r="D185" s="50">
        <f>SUMIF(Allidrett!B:B,'Samlet budsjett'!A185,Allidrett!AB:AB)</f>
        <v>0</v>
      </c>
      <c r="E185" s="50">
        <f>SUMIF(Bueskyting!B:B,'Samlet budsjett'!A185,Bueskyting!AB:AB)</f>
        <v>0</v>
      </c>
      <c r="F185" s="50">
        <f>SUMIF(Tennis!B:B,'Samlet budsjett'!A185,Tennis!AB:AB)</f>
        <v>0</v>
      </c>
      <c r="G185" s="50">
        <f>SUMIF(Svømming!B:B,'Samlet budsjett'!A185,Svømming!AB:AB)</f>
        <v>0</v>
      </c>
      <c r="H185" s="50">
        <f>SUMIF(Fotball!B:B,'Samlet budsjett'!A185,Fotball!AB:AB)</f>
        <v>0</v>
      </c>
      <c r="I185" s="50">
        <f>SUMIF(Håndball!B:B,'Samlet budsjett'!A185,Håndball!AB:AB)</f>
        <v>0</v>
      </c>
      <c r="J185" s="50">
        <f>SUMIF(Futsal!B:B,'Samlet budsjett'!A:A,Futsal!AB:AB)</f>
        <v>0</v>
      </c>
      <c r="K185" s="50">
        <f>SUMIF('Tur og Friluftsliv'!B:B,'Samlet budsjett'!A185,'Tur og Friluftsliv'!AB:AB)</f>
        <v>0</v>
      </c>
      <c r="L185" s="50">
        <f>SUMIF('E-sport'!B:B,'Samlet budsjett'!A185,'E-sport'!AB:AB)</f>
        <v>0</v>
      </c>
      <c r="M185" s="50">
        <f>SUMIF(Prosjekt!B:B,'Samlet budsjett'!A185,Prosjekt!G:G)</f>
        <v>0</v>
      </c>
    </row>
    <row r="186" spans="1:13" hidden="1" outlineLevel="1" collapsed="1" x14ac:dyDescent="0.3">
      <c r="A186" s="10" t="s">
        <v>140</v>
      </c>
      <c r="B186" s="50">
        <f t="shared" si="48"/>
        <v>0</v>
      </c>
      <c r="C186" s="50">
        <f>SUMIF(Hovedlaget!B:B,'Samlet budsjett'!A186,Hovedlaget!AB:AB)</f>
        <v>0</v>
      </c>
      <c r="D186" s="50">
        <f>SUMIF(Allidrett!B:B,'Samlet budsjett'!A186,Allidrett!AB:AB)</f>
        <v>0</v>
      </c>
      <c r="E186" s="50">
        <f>SUMIF(Bueskyting!B:B,'Samlet budsjett'!A186,Bueskyting!AB:AB)</f>
        <v>0</v>
      </c>
      <c r="F186" s="50">
        <f>SUMIF(Tennis!B:B,'Samlet budsjett'!A186,Tennis!AB:AB)</f>
        <v>0</v>
      </c>
      <c r="G186" s="50">
        <f>SUMIF(Svømming!B:B,'Samlet budsjett'!A186,Svømming!AB:AB)</f>
        <v>0</v>
      </c>
      <c r="H186" s="50">
        <f>SUMIF(Fotball!B:B,'Samlet budsjett'!A186,Fotball!AB:AB)</f>
        <v>0</v>
      </c>
      <c r="I186" s="50">
        <f>SUMIF(Håndball!B:B,'Samlet budsjett'!A186,Håndball!AB:AB)</f>
        <v>0</v>
      </c>
      <c r="J186" s="50">
        <f>SUMIF(Futsal!B:B,'Samlet budsjett'!A:A,Futsal!AB:AB)</f>
        <v>0</v>
      </c>
      <c r="K186" s="50">
        <f>SUMIF('Tur og Friluftsliv'!B:B,'Samlet budsjett'!A186,'Tur og Friluftsliv'!AB:AB)</f>
        <v>0</v>
      </c>
      <c r="L186" s="50">
        <f>SUMIF('E-sport'!B:B,'Samlet budsjett'!A186,'E-sport'!AB:AB)</f>
        <v>0</v>
      </c>
      <c r="M186" s="50">
        <f>SUMIF(Prosjekt!B:B,'Samlet budsjett'!A186,Prosjekt!G:G)</f>
        <v>0</v>
      </c>
    </row>
    <row r="187" spans="1:13" ht="16.2" collapsed="1" thickBot="1" x14ac:dyDescent="0.35">
      <c r="A187" s="12" t="s">
        <v>20</v>
      </c>
      <c r="B187" s="54">
        <f t="shared" si="48"/>
        <v>2127686.6250859722</v>
      </c>
      <c r="C187" s="54">
        <f t="shared" ref="C187:K187" si="52">C49+C179+C182</f>
        <v>-6708.6749140275642</v>
      </c>
      <c r="D187" s="54">
        <f t="shared" ref="D187" si="53">D49+D179+D182</f>
        <v>-3638</v>
      </c>
      <c r="E187" s="54">
        <f t="shared" ref="E187:J187" si="54">E49+E179+E182</f>
        <v>-33823</v>
      </c>
      <c r="F187" s="54">
        <f t="shared" si="54"/>
        <v>398</v>
      </c>
      <c r="G187" s="54">
        <f t="shared" si="54"/>
        <v>-18492</v>
      </c>
      <c r="H187" s="54">
        <f t="shared" si="54"/>
        <v>-9256.7000000001863</v>
      </c>
      <c r="I187" s="54">
        <f t="shared" si="54"/>
        <v>0</v>
      </c>
      <c r="J187" s="54">
        <f t="shared" si="54"/>
        <v>-9160</v>
      </c>
      <c r="K187" s="54">
        <f t="shared" si="52"/>
        <v>-20540</v>
      </c>
      <c r="L187" s="54">
        <f t="shared" ref="L187:M187" si="55">L49+L179+L182</f>
        <v>-46279</v>
      </c>
      <c r="M187" s="54">
        <f t="shared" si="55"/>
        <v>2275186</v>
      </c>
    </row>
    <row r="188" spans="1:13" ht="15" thickTop="1" x14ac:dyDescent="0.3"/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8A692-7A19-4F1E-8B76-19F2AD7EC161}">
  <dimension ref="B2:AB61"/>
  <sheetViews>
    <sheetView workbookViewId="0">
      <selection activeCell="AB60" sqref="AB60"/>
    </sheetView>
  </sheetViews>
  <sheetFormatPr baseColWidth="10" defaultRowHeight="14.4" outlineLevelRow="1" outlineLevelCol="1" x14ac:dyDescent="0.3"/>
  <cols>
    <col min="2" max="2" width="50.5546875" bestFit="1" customWidth="1"/>
    <col min="3" max="6" width="8.88671875" hidden="1" customWidth="1" outlineLevel="1"/>
    <col min="7" max="7" width="8.109375" hidden="1" customWidth="1" outlineLevel="1"/>
    <col min="8" max="8" width="9.33203125" hidden="1" customWidth="1" outlineLevel="1"/>
    <col min="9" max="9" width="7.88671875" hidden="1" customWidth="1" outlineLevel="1"/>
    <col min="10" max="10" width="8.33203125" hidden="1" customWidth="1" outlineLevel="1"/>
    <col min="11" max="11" width="10" hidden="1" customWidth="1" outlineLevel="1"/>
    <col min="12" max="12" width="7" hidden="1" customWidth="1" outlineLevel="1"/>
    <col min="13" max="13" width="8.109375" hidden="1" customWidth="1" outlineLevel="1"/>
    <col min="14" max="14" width="8.88671875" hidden="1" customWidth="1" outlineLevel="1"/>
    <col min="15" max="15" width="8.88671875" customWidth="1" collapsed="1"/>
    <col min="16" max="16" width="8" bestFit="1" customWidth="1" outlineLevel="1" collapsed="1"/>
    <col min="17" max="17" width="9.109375" bestFit="1" customWidth="1" outlineLevel="1" collapsed="1"/>
    <col min="18" max="20" width="7.33203125" bestFit="1" customWidth="1" outlineLevel="1" collapsed="1"/>
    <col min="21" max="21" width="10" bestFit="1" customWidth="1" outlineLevel="1" collapsed="1"/>
    <col min="22" max="22" width="6" bestFit="1" customWidth="1" outlineLevel="1" collapsed="1"/>
    <col min="23" max="23" width="8.44140625" bestFit="1" customWidth="1" outlineLevel="1" collapsed="1"/>
    <col min="24" max="24" width="12.109375" bestFit="1" customWidth="1" outlineLevel="1" collapsed="1"/>
    <col min="25" max="25" width="9.6640625" bestFit="1" customWidth="1" outlineLevel="1" collapsed="1"/>
    <col min="26" max="26" width="11.88671875" bestFit="1" customWidth="1" outlineLevel="1" collapsed="1"/>
    <col min="27" max="27" width="11.44140625" bestFit="1" outlineLevel="1" collapsed="1"/>
    <col min="28" max="28" width="14.88671875" bestFit="1" customWidth="1" outlineLevel="1" collapsed="1"/>
  </cols>
  <sheetData>
    <row r="2" spans="2:28" ht="25.8" x14ac:dyDescent="0.5">
      <c r="B2" s="1" t="s">
        <v>0</v>
      </c>
    </row>
    <row r="3" spans="2:28" ht="21" x14ac:dyDescent="0.4">
      <c r="B3" s="21">
        <v>202209</v>
      </c>
    </row>
    <row r="7" spans="2:28" ht="15.6" x14ac:dyDescent="0.3">
      <c r="B7" s="2" t="s">
        <v>159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 t="s">
        <v>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 t="s">
        <v>154</v>
      </c>
    </row>
    <row r="8" spans="2:28" ht="31.2" x14ac:dyDescent="0.3">
      <c r="B8" s="4"/>
      <c r="C8" s="22">
        <v>44470</v>
      </c>
      <c r="D8" s="22">
        <v>44501</v>
      </c>
      <c r="E8" s="22">
        <v>44531</v>
      </c>
      <c r="F8" s="22">
        <v>44562</v>
      </c>
      <c r="G8" s="22">
        <v>44593</v>
      </c>
      <c r="H8" s="22">
        <v>44621</v>
      </c>
      <c r="I8" s="22">
        <v>44652</v>
      </c>
      <c r="J8" s="22">
        <v>44682</v>
      </c>
      <c r="K8" s="22">
        <v>44713</v>
      </c>
      <c r="L8" s="22">
        <v>44743</v>
      </c>
      <c r="M8" s="22">
        <v>44774</v>
      </c>
      <c r="N8" s="22">
        <v>44805</v>
      </c>
      <c r="O8" s="22" t="s">
        <v>141</v>
      </c>
      <c r="P8" s="23" t="s">
        <v>142</v>
      </c>
      <c r="Q8" s="23" t="s">
        <v>143</v>
      </c>
      <c r="R8" s="23" t="s">
        <v>144</v>
      </c>
      <c r="S8" s="23" t="s">
        <v>145</v>
      </c>
      <c r="T8" s="23" t="s">
        <v>146</v>
      </c>
      <c r="U8" s="23" t="s">
        <v>147</v>
      </c>
      <c r="V8" s="23" t="s">
        <v>148</v>
      </c>
      <c r="W8" s="23" t="s">
        <v>149</v>
      </c>
      <c r="X8" s="23" t="s">
        <v>150</v>
      </c>
      <c r="Y8" s="23" t="s">
        <v>151</v>
      </c>
      <c r="Z8" s="23" t="s">
        <v>152</v>
      </c>
      <c r="AA8" s="23" t="s">
        <v>153</v>
      </c>
      <c r="AB8" s="23" t="s">
        <v>157</v>
      </c>
    </row>
    <row r="9" spans="2:28" x14ac:dyDescent="0.3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2:28" ht="21" x14ac:dyDescent="0.4">
      <c r="B10" s="6" t="s">
        <v>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2:28" collapsed="1" x14ac:dyDescent="0.3">
      <c r="B11" s="8" t="s">
        <v>4</v>
      </c>
      <c r="C11" s="9">
        <v>0</v>
      </c>
      <c r="D11" s="9">
        <v>-9420</v>
      </c>
      <c r="E11" s="9">
        <v>0</v>
      </c>
      <c r="F11" s="9">
        <v>-4280</v>
      </c>
      <c r="G11" s="9">
        <v>-1405</v>
      </c>
      <c r="H11" s="9">
        <v>-1410</v>
      </c>
      <c r="I11" s="9">
        <v>0</v>
      </c>
      <c r="J11" s="9">
        <v>-785</v>
      </c>
      <c r="K11" s="9">
        <v>-20550</v>
      </c>
      <c r="L11" s="9">
        <v>0</v>
      </c>
      <c r="M11" s="9">
        <v>-200</v>
      </c>
      <c r="N11" s="9">
        <v>-8740</v>
      </c>
      <c r="O11" s="9">
        <v>-46790</v>
      </c>
      <c r="P11" s="24">
        <f>SUM(P12:P14)</f>
        <v>-4000</v>
      </c>
      <c r="Q11" s="24">
        <f t="shared" ref="Q11:AA11" si="0">SUM(Q12:Q14)</f>
        <v>-4000</v>
      </c>
      <c r="R11" s="24">
        <f t="shared" si="0"/>
        <v>-4000</v>
      </c>
      <c r="S11" s="24">
        <f t="shared" si="0"/>
        <v>-4000</v>
      </c>
      <c r="T11" s="24">
        <f t="shared" si="0"/>
        <v>-3000</v>
      </c>
      <c r="U11" s="24">
        <f t="shared" si="0"/>
        <v>-20000</v>
      </c>
      <c r="V11" s="24">
        <f t="shared" si="0"/>
        <v>0</v>
      </c>
      <c r="W11" s="24">
        <f t="shared" si="0"/>
        <v>0</v>
      </c>
      <c r="X11" s="24">
        <f t="shared" si="0"/>
        <v>0</v>
      </c>
      <c r="Y11" s="24">
        <f t="shared" si="0"/>
        <v>-8000</v>
      </c>
      <c r="Z11" s="24">
        <f t="shared" si="0"/>
        <v>0</v>
      </c>
      <c r="AA11" s="24">
        <f t="shared" si="0"/>
        <v>0</v>
      </c>
      <c r="AB11" s="24">
        <f>SUM(P11:AA11)</f>
        <v>-47000</v>
      </c>
    </row>
    <row r="12" spans="2:28" hidden="1" outlineLevel="1" x14ac:dyDescent="0.3">
      <c r="B12" s="10" t="s">
        <v>23</v>
      </c>
      <c r="C12" s="11">
        <v>0</v>
      </c>
      <c r="D12" s="11">
        <v>-9420</v>
      </c>
      <c r="E12" s="11">
        <v>0</v>
      </c>
      <c r="F12" s="11"/>
      <c r="G12" s="11"/>
      <c r="H12" s="11"/>
      <c r="I12" s="11"/>
      <c r="J12" s="11"/>
      <c r="K12" s="11">
        <v>-20550</v>
      </c>
      <c r="L12" s="11">
        <v>0</v>
      </c>
      <c r="M12" s="11"/>
      <c r="N12" s="11"/>
      <c r="O12" s="11">
        <v>-29970</v>
      </c>
      <c r="P12" s="11"/>
      <c r="Q12" s="11"/>
      <c r="R12" s="11"/>
      <c r="S12" s="11"/>
      <c r="T12" s="11"/>
      <c r="U12" s="11">
        <v>-20000</v>
      </c>
      <c r="V12" s="11"/>
      <c r="W12" s="11"/>
      <c r="X12" s="11"/>
      <c r="Y12" s="11">
        <v>-8000</v>
      </c>
      <c r="Z12" s="11"/>
      <c r="AA12" s="11"/>
      <c r="AB12" s="11">
        <f t="shared" ref="AB12:AB22" si="1">SUM(P12:AA12)</f>
        <v>-28000</v>
      </c>
    </row>
    <row r="13" spans="2:28" hidden="1" outlineLevel="1" collapsed="1" x14ac:dyDescent="0.3">
      <c r="B13" s="10" t="s">
        <v>24</v>
      </c>
      <c r="C13" s="11">
        <v>0</v>
      </c>
      <c r="D13" s="11">
        <v>0</v>
      </c>
      <c r="E13" s="11">
        <v>0</v>
      </c>
      <c r="F13" s="11">
        <v>-4280</v>
      </c>
      <c r="G13" s="11">
        <v>-1405</v>
      </c>
      <c r="H13" s="11">
        <v>-1410</v>
      </c>
      <c r="I13" s="11"/>
      <c r="J13" s="11">
        <v>-785</v>
      </c>
      <c r="K13" s="11"/>
      <c r="L13" s="11"/>
      <c r="M13" s="11">
        <v>-200</v>
      </c>
      <c r="N13" s="11">
        <v>-8740</v>
      </c>
      <c r="O13" s="11">
        <v>-16820</v>
      </c>
      <c r="P13" s="11">
        <v>-4000</v>
      </c>
      <c r="Q13" s="11">
        <v>-4000</v>
      </c>
      <c r="R13" s="11">
        <v>-4000</v>
      </c>
      <c r="S13" s="11">
        <v>-4000</v>
      </c>
      <c r="T13" s="11">
        <v>-3000</v>
      </c>
      <c r="U13" s="11"/>
      <c r="V13" s="11"/>
      <c r="W13" s="11"/>
      <c r="X13" s="11"/>
      <c r="Y13" s="11"/>
      <c r="Z13" s="11"/>
      <c r="AA13" s="11"/>
      <c r="AB13" s="11">
        <f t="shared" si="1"/>
        <v>-19000</v>
      </c>
    </row>
    <row r="14" spans="2:28" hidden="1" outlineLevel="1" collapsed="1" x14ac:dyDescent="0.3">
      <c r="B14" s="10" t="s">
        <v>160</v>
      </c>
      <c r="C14" s="11">
        <v>0</v>
      </c>
      <c r="D14" s="11">
        <v>0</v>
      </c>
      <c r="E14" s="11">
        <v>0</v>
      </c>
      <c r="F14" s="11"/>
      <c r="G14" s="11"/>
      <c r="H14" s="11"/>
      <c r="I14" s="11"/>
      <c r="J14" s="11"/>
      <c r="K14" s="11"/>
      <c r="L14" s="11"/>
      <c r="M14" s="11"/>
      <c r="N14" s="11"/>
      <c r="O14" s="11">
        <v>0</v>
      </c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>
        <f t="shared" si="1"/>
        <v>0</v>
      </c>
    </row>
    <row r="15" spans="2:28" collapsed="1" x14ac:dyDescent="0.3">
      <c r="B15" s="8" t="s">
        <v>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24">
        <f>SUM(P16)</f>
        <v>0</v>
      </c>
      <c r="Q15" s="24">
        <f t="shared" ref="Q15:AA15" si="2">SUM(Q16)</f>
        <v>0</v>
      </c>
      <c r="R15" s="24">
        <f t="shared" si="2"/>
        <v>0</v>
      </c>
      <c r="S15" s="24">
        <f t="shared" si="2"/>
        <v>0</v>
      </c>
      <c r="T15" s="24">
        <f t="shared" si="2"/>
        <v>0</v>
      </c>
      <c r="U15" s="24">
        <f t="shared" si="2"/>
        <v>0</v>
      </c>
      <c r="V15" s="24">
        <f t="shared" si="2"/>
        <v>0</v>
      </c>
      <c r="W15" s="24">
        <f t="shared" si="2"/>
        <v>0</v>
      </c>
      <c r="X15" s="24">
        <f t="shared" si="2"/>
        <v>0</v>
      </c>
      <c r="Y15" s="24">
        <f t="shared" si="2"/>
        <v>0</v>
      </c>
      <c r="Z15" s="24">
        <f t="shared" si="2"/>
        <v>0</v>
      </c>
      <c r="AA15" s="24">
        <f t="shared" si="2"/>
        <v>0</v>
      </c>
      <c r="AB15" s="24">
        <f t="shared" si="1"/>
        <v>0</v>
      </c>
    </row>
    <row r="16" spans="2:28" hidden="1" outlineLevel="1" x14ac:dyDescent="0.3">
      <c r="B16" s="10" t="s">
        <v>30</v>
      </c>
      <c r="C16" s="11">
        <v>0</v>
      </c>
      <c r="D16" s="11">
        <v>0</v>
      </c>
      <c r="E16" s="11">
        <v>0</v>
      </c>
      <c r="F16" s="11"/>
      <c r="G16" s="11"/>
      <c r="H16" s="11"/>
      <c r="I16" s="11"/>
      <c r="J16" s="11"/>
      <c r="K16" s="11"/>
      <c r="L16" s="11"/>
      <c r="M16" s="11"/>
      <c r="N16" s="11"/>
      <c r="O16" s="11">
        <v>0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>
        <f t="shared" si="1"/>
        <v>0</v>
      </c>
    </row>
    <row r="17" spans="2:28" collapsed="1" x14ac:dyDescent="0.3">
      <c r="B17" s="8" t="s">
        <v>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>
        <f t="shared" si="1"/>
        <v>0</v>
      </c>
    </row>
    <row r="18" spans="2:28" collapsed="1" x14ac:dyDescent="0.3">
      <c r="B18" s="8" t="s">
        <v>7</v>
      </c>
      <c r="C18" s="9">
        <v>0</v>
      </c>
      <c r="D18" s="9">
        <v>0</v>
      </c>
      <c r="E18" s="9">
        <v>-1023</v>
      </c>
      <c r="F18" s="9">
        <v>-7156</v>
      </c>
      <c r="G18" s="9">
        <v>-815</v>
      </c>
      <c r="H18" s="9">
        <v>-130</v>
      </c>
      <c r="I18" s="9">
        <v>0</v>
      </c>
      <c r="J18" s="9">
        <v>-190</v>
      </c>
      <c r="K18" s="9">
        <v>-650</v>
      </c>
      <c r="L18" s="9">
        <v>0</v>
      </c>
      <c r="M18" s="9">
        <v>-700</v>
      </c>
      <c r="N18" s="9">
        <v>-1100</v>
      </c>
      <c r="O18" s="9">
        <v>-11764</v>
      </c>
      <c r="P18" s="24">
        <f>SUM(P19:P21)</f>
        <v>-1000</v>
      </c>
      <c r="Q18" s="24">
        <f t="shared" ref="Q18:AA18" si="3">SUM(Q19:Q21)</f>
        <v>-1000</v>
      </c>
      <c r="R18" s="24">
        <f t="shared" si="3"/>
        <v>-1000</v>
      </c>
      <c r="S18" s="24">
        <f t="shared" si="3"/>
        <v>-1000</v>
      </c>
      <c r="T18" s="24">
        <f t="shared" si="3"/>
        <v>-1000</v>
      </c>
      <c r="U18" s="24">
        <f t="shared" si="3"/>
        <v>0</v>
      </c>
      <c r="V18" s="24">
        <f t="shared" si="3"/>
        <v>0</v>
      </c>
      <c r="W18" s="24">
        <f t="shared" si="3"/>
        <v>-1000</v>
      </c>
      <c r="X18" s="24">
        <f t="shared" si="3"/>
        <v>-1000</v>
      </c>
      <c r="Y18" s="24">
        <f t="shared" si="3"/>
        <v>-1000</v>
      </c>
      <c r="Z18" s="24">
        <f t="shared" si="3"/>
        <v>-1000</v>
      </c>
      <c r="AA18" s="24">
        <f t="shared" si="3"/>
        <v>-1000</v>
      </c>
      <c r="AB18" s="24">
        <f t="shared" si="1"/>
        <v>-10000</v>
      </c>
    </row>
    <row r="19" spans="2:28" hidden="1" outlineLevel="1" x14ac:dyDescent="0.3">
      <c r="B19" s="10" t="s">
        <v>161</v>
      </c>
      <c r="C19" s="11">
        <v>0</v>
      </c>
      <c r="D19" s="11">
        <v>0</v>
      </c>
      <c r="E19" s="11">
        <v>0</v>
      </c>
      <c r="F19" s="11"/>
      <c r="G19" s="11"/>
      <c r="H19" s="11"/>
      <c r="I19" s="11"/>
      <c r="J19" s="11"/>
      <c r="K19" s="11"/>
      <c r="L19" s="11"/>
      <c r="M19" s="11"/>
      <c r="N19" s="11"/>
      <c r="O19" s="11">
        <v>0</v>
      </c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>
        <f t="shared" si="1"/>
        <v>0</v>
      </c>
    </row>
    <row r="20" spans="2:28" hidden="1" outlineLevel="1" collapsed="1" x14ac:dyDescent="0.3">
      <c r="B20" s="10" t="s">
        <v>162</v>
      </c>
      <c r="C20" s="11">
        <v>0</v>
      </c>
      <c r="D20" s="11">
        <v>0</v>
      </c>
      <c r="E20" s="11">
        <v>0</v>
      </c>
      <c r="F20" s="11"/>
      <c r="G20" s="11"/>
      <c r="H20" s="11">
        <v>0</v>
      </c>
      <c r="I20" s="11"/>
      <c r="J20" s="11">
        <v>0</v>
      </c>
      <c r="K20" s="11">
        <v>0</v>
      </c>
      <c r="L20" s="11"/>
      <c r="M20" s="11">
        <v>0</v>
      </c>
      <c r="N20" s="11">
        <v>0</v>
      </c>
      <c r="O20" s="11">
        <v>0</v>
      </c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>
        <f t="shared" si="1"/>
        <v>0</v>
      </c>
    </row>
    <row r="21" spans="2:28" hidden="1" outlineLevel="1" collapsed="1" x14ac:dyDescent="0.3">
      <c r="B21" s="10" t="s">
        <v>42</v>
      </c>
      <c r="C21" s="11">
        <v>0</v>
      </c>
      <c r="D21" s="11">
        <v>0</v>
      </c>
      <c r="E21" s="11">
        <v>-1023</v>
      </c>
      <c r="F21" s="11">
        <v>-7156</v>
      </c>
      <c r="G21" s="11">
        <v>-815</v>
      </c>
      <c r="H21" s="11">
        <v>-130</v>
      </c>
      <c r="I21" s="11"/>
      <c r="J21" s="11">
        <v>-190</v>
      </c>
      <c r="K21" s="11">
        <v>-650</v>
      </c>
      <c r="L21" s="11"/>
      <c r="M21" s="11">
        <v>-700</v>
      </c>
      <c r="N21" s="11">
        <v>-1100</v>
      </c>
      <c r="O21" s="11">
        <v>-11764</v>
      </c>
      <c r="P21" s="11">
        <v>-1000</v>
      </c>
      <c r="Q21" s="11">
        <v>-1000</v>
      </c>
      <c r="R21" s="11">
        <v>-1000</v>
      </c>
      <c r="S21" s="11">
        <v>-1000</v>
      </c>
      <c r="T21" s="11">
        <v>-1000</v>
      </c>
      <c r="U21" s="11"/>
      <c r="V21" s="11"/>
      <c r="W21" s="11">
        <v>-1000</v>
      </c>
      <c r="X21" s="11">
        <v>-1000</v>
      </c>
      <c r="Y21" s="11">
        <v>-1000</v>
      </c>
      <c r="Z21" s="11">
        <v>-1000</v>
      </c>
      <c r="AA21" s="11">
        <v>-1000</v>
      </c>
      <c r="AB21" s="11">
        <f t="shared" si="1"/>
        <v>-10000</v>
      </c>
    </row>
    <row r="22" spans="2:28" collapsed="1" x14ac:dyDescent="0.3">
      <c r="B22" s="15" t="s">
        <v>8</v>
      </c>
      <c r="C22" s="16">
        <v>0</v>
      </c>
      <c r="D22" s="16">
        <v>-9420</v>
      </c>
      <c r="E22" s="16">
        <v>-1023</v>
      </c>
      <c r="F22" s="16">
        <v>-11436</v>
      </c>
      <c r="G22" s="16">
        <v>-2220</v>
      </c>
      <c r="H22" s="16">
        <v>-1540</v>
      </c>
      <c r="I22" s="16">
        <v>0</v>
      </c>
      <c r="J22" s="16">
        <v>-975</v>
      </c>
      <c r="K22" s="16">
        <v>-21200</v>
      </c>
      <c r="L22" s="16">
        <v>0</v>
      </c>
      <c r="M22" s="16">
        <v>-900</v>
      </c>
      <c r="N22" s="16">
        <v>-9840</v>
      </c>
      <c r="O22" s="16">
        <v>-58554</v>
      </c>
      <c r="P22" s="25">
        <f>P11+P15+P17+P18</f>
        <v>-5000</v>
      </c>
      <c r="Q22" s="25">
        <f t="shared" ref="Q22:AA22" si="4">Q11+Q15+Q17+Q18</f>
        <v>-5000</v>
      </c>
      <c r="R22" s="25">
        <f t="shared" si="4"/>
        <v>-5000</v>
      </c>
      <c r="S22" s="25">
        <f t="shared" si="4"/>
        <v>-5000</v>
      </c>
      <c r="T22" s="25">
        <f t="shared" si="4"/>
        <v>-4000</v>
      </c>
      <c r="U22" s="25">
        <f t="shared" si="4"/>
        <v>-20000</v>
      </c>
      <c r="V22" s="25">
        <f t="shared" si="4"/>
        <v>0</v>
      </c>
      <c r="W22" s="25">
        <f t="shared" si="4"/>
        <v>-1000</v>
      </c>
      <c r="X22" s="25">
        <f t="shared" si="4"/>
        <v>-1000</v>
      </c>
      <c r="Y22" s="25">
        <f t="shared" si="4"/>
        <v>-9000</v>
      </c>
      <c r="Z22" s="25">
        <f t="shared" si="4"/>
        <v>-1000</v>
      </c>
      <c r="AA22" s="25">
        <f t="shared" si="4"/>
        <v>-1000</v>
      </c>
      <c r="AB22" s="25">
        <f t="shared" si="1"/>
        <v>-57000</v>
      </c>
    </row>
    <row r="23" spans="2:28" x14ac:dyDescent="0.3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2:28" x14ac:dyDescent="0.3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2:28" ht="21" x14ac:dyDescent="0.4">
      <c r="B25" s="6" t="s">
        <v>9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2:28" collapsed="1" x14ac:dyDescent="0.3">
      <c r="B26" s="8" t="s">
        <v>10</v>
      </c>
      <c r="C26" s="9">
        <v>0</v>
      </c>
      <c r="D26" s="9">
        <v>0</v>
      </c>
      <c r="E26" s="9">
        <v>0</v>
      </c>
      <c r="F26" s="9">
        <v>8500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8500</v>
      </c>
      <c r="P26" s="24">
        <f>SUM(P27:P30)</f>
        <v>1000</v>
      </c>
      <c r="Q26" s="24">
        <f t="shared" ref="Q26:AA26" si="5">SUM(Q27:Q30)</f>
        <v>1000</v>
      </c>
      <c r="R26" s="24">
        <f t="shared" si="5"/>
        <v>1000</v>
      </c>
      <c r="S26" s="24">
        <f t="shared" si="5"/>
        <v>1000</v>
      </c>
      <c r="T26" s="24">
        <f t="shared" si="5"/>
        <v>0</v>
      </c>
      <c r="U26" s="24">
        <f t="shared" si="5"/>
        <v>0</v>
      </c>
      <c r="V26" s="24">
        <f t="shared" si="5"/>
        <v>0</v>
      </c>
      <c r="W26" s="24">
        <f t="shared" si="5"/>
        <v>0</v>
      </c>
      <c r="X26" s="24">
        <f t="shared" si="5"/>
        <v>6000</v>
      </c>
      <c r="Y26" s="24">
        <f t="shared" si="5"/>
        <v>0</v>
      </c>
      <c r="Z26" s="24">
        <f t="shared" si="5"/>
        <v>0</v>
      </c>
      <c r="AA26" s="24">
        <f t="shared" si="5"/>
        <v>0</v>
      </c>
      <c r="AB26" s="24">
        <f t="shared" ref="AB26:AB55" si="6">SUM(P26:AA26)</f>
        <v>10000</v>
      </c>
    </row>
    <row r="27" spans="2:28" hidden="1" outlineLevel="1" x14ac:dyDescent="0.3">
      <c r="B27" s="10" t="s">
        <v>51</v>
      </c>
      <c r="C27" s="11">
        <v>0</v>
      </c>
      <c r="D27" s="11">
        <v>0</v>
      </c>
      <c r="E27" s="11">
        <v>0</v>
      </c>
      <c r="F27" s="11">
        <v>0</v>
      </c>
      <c r="G27" s="11"/>
      <c r="H27" s="11"/>
      <c r="I27" s="11"/>
      <c r="J27" s="11"/>
      <c r="K27" s="11"/>
      <c r="L27" s="11"/>
      <c r="M27" s="11"/>
      <c r="N27" s="11"/>
      <c r="O27" s="11">
        <v>0</v>
      </c>
      <c r="P27" s="11">
        <v>1000</v>
      </c>
      <c r="Q27" s="11">
        <v>1000</v>
      </c>
      <c r="R27" s="11">
        <v>1000</v>
      </c>
      <c r="S27" s="11">
        <v>1000</v>
      </c>
      <c r="T27" s="11"/>
      <c r="U27" s="11"/>
      <c r="V27" s="11"/>
      <c r="W27" s="11"/>
      <c r="X27" s="11"/>
      <c r="Y27" s="11"/>
      <c r="Z27" s="11"/>
      <c r="AA27" s="11"/>
      <c r="AB27" s="11">
        <f t="shared" si="6"/>
        <v>4000</v>
      </c>
    </row>
    <row r="28" spans="2:28" hidden="1" outlineLevel="1" collapsed="1" x14ac:dyDescent="0.3">
      <c r="B28" s="10" t="s">
        <v>54</v>
      </c>
      <c r="C28" s="11">
        <v>0</v>
      </c>
      <c r="D28" s="11">
        <v>0</v>
      </c>
      <c r="E28" s="11">
        <v>0</v>
      </c>
      <c r="F28" s="11">
        <v>8500</v>
      </c>
      <c r="G28" s="11"/>
      <c r="H28" s="11"/>
      <c r="I28" s="11"/>
      <c r="J28" s="11"/>
      <c r="K28" s="11"/>
      <c r="L28" s="11"/>
      <c r="M28" s="11"/>
      <c r="N28" s="11"/>
      <c r="O28" s="11">
        <v>8500</v>
      </c>
      <c r="P28" s="11"/>
      <c r="Q28" s="11"/>
      <c r="R28" s="11"/>
      <c r="S28" s="11"/>
      <c r="T28" s="11"/>
      <c r="U28" s="11"/>
      <c r="V28" s="11"/>
      <c r="W28" s="11"/>
      <c r="X28" s="11">
        <v>6000</v>
      </c>
      <c r="Y28" s="11"/>
      <c r="Z28" s="11"/>
      <c r="AA28" s="11"/>
      <c r="AB28" s="11">
        <f t="shared" si="6"/>
        <v>6000</v>
      </c>
    </row>
    <row r="29" spans="2:28" hidden="1" outlineLevel="1" collapsed="1" x14ac:dyDescent="0.3">
      <c r="B29" s="10" t="s">
        <v>163</v>
      </c>
      <c r="C29" s="11">
        <v>0</v>
      </c>
      <c r="D29" s="11">
        <v>0</v>
      </c>
      <c r="E29" s="11">
        <v>0</v>
      </c>
      <c r="F29" s="11"/>
      <c r="G29" s="11"/>
      <c r="H29" s="11"/>
      <c r="I29" s="11"/>
      <c r="J29" s="11"/>
      <c r="K29" s="11"/>
      <c r="L29" s="11"/>
      <c r="M29" s="11"/>
      <c r="N29" s="11"/>
      <c r="O29" s="11">
        <v>0</v>
      </c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>
        <f t="shared" si="6"/>
        <v>0</v>
      </c>
    </row>
    <row r="30" spans="2:28" hidden="1" outlineLevel="1" collapsed="1" x14ac:dyDescent="0.3">
      <c r="B30" s="10" t="s">
        <v>164</v>
      </c>
      <c r="C30" s="11">
        <v>0</v>
      </c>
      <c r="D30" s="11">
        <v>0</v>
      </c>
      <c r="E30" s="11">
        <v>0</v>
      </c>
      <c r="F30" s="11"/>
      <c r="G30" s="11"/>
      <c r="H30" s="11"/>
      <c r="I30" s="11"/>
      <c r="J30" s="11"/>
      <c r="K30" s="11"/>
      <c r="L30" s="11"/>
      <c r="M30" s="11"/>
      <c r="N30" s="11"/>
      <c r="O30" s="11">
        <v>0</v>
      </c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>
        <f t="shared" si="6"/>
        <v>0</v>
      </c>
    </row>
    <row r="31" spans="2:28" collapsed="1" x14ac:dyDescent="0.3">
      <c r="B31" s="8" t="s">
        <v>11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5486.7</v>
      </c>
      <c r="I31" s="9">
        <v>0</v>
      </c>
      <c r="J31" s="9">
        <v>0</v>
      </c>
      <c r="K31" s="9">
        <v>2362.1999999999998</v>
      </c>
      <c r="L31" s="9">
        <v>0</v>
      </c>
      <c r="M31" s="9">
        <v>0</v>
      </c>
      <c r="N31" s="9">
        <v>1340.54</v>
      </c>
      <c r="O31" s="9">
        <v>9189.4399999999987</v>
      </c>
      <c r="P31" s="24">
        <f>SUM(P32:P33)</f>
        <v>0</v>
      </c>
      <c r="Q31" s="24">
        <f t="shared" ref="Q31:AA31" si="7">SUM(Q32:Q33)</f>
        <v>0</v>
      </c>
      <c r="R31" s="24">
        <f t="shared" si="7"/>
        <v>350</v>
      </c>
      <c r="S31" s="24">
        <f t="shared" si="7"/>
        <v>0</v>
      </c>
      <c r="T31" s="24">
        <f t="shared" si="7"/>
        <v>0</v>
      </c>
      <c r="U31" s="24">
        <f t="shared" si="7"/>
        <v>350</v>
      </c>
      <c r="V31" s="24">
        <f t="shared" si="7"/>
        <v>0</v>
      </c>
      <c r="W31" s="24">
        <f t="shared" si="7"/>
        <v>0</v>
      </c>
      <c r="X31" s="24">
        <f t="shared" si="7"/>
        <v>350</v>
      </c>
      <c r="Y31" s="24">
        <f t="shared" si="7"/>
        <v>0</v>
      </c>
      <c r="Z31" s="24">
        <f t="shared" si="7"/>
        <v>0</v>
      </c>
      <c r="AA31" s="24">
        <f t="shared" si="7"/>
        <v>5350</v>
      </c>
      <c r="AB31" s="24">
        <f t="shared" si="6"/>
        <v>6400</v>
      </c>
    </row>
    <row r="32" spans="2:28" outlineLevel="1" x14ac:dyDescent="0.3">
      <c r="B32" s="10" t="s">
        <v>165</v>
      </c>
      <c r="C32" s="11">
        <v>0</v>
      </c>
      <c r="D32" s="11">
        <v>0</v>
      </c>
      <c r="E32" s="11">
        <v>0</v>
      </c>
      <c r="F32" s="11"/>
      <c r="G32" s="11"/>
      <c r="H32" s="11">
        <v>750</v>
      </c>
      <c r="I32" s="11"/>
      <c r="J32" s="11"/>
      <c r="K32" s="11">
        <v>750</v>
      </c>
      <c r="L32" s="11"/>
      <c r="M32" s="11"/>
      <c r="N32" s="11">
        <v>750</v>
      </c>
      <c r="O32" s="11">
        <v>2250</v>
      </c>
      <c r="P32" s="11"/>
      <c r="Q32" s="11"/>
      <c r="R32" s="11">
        <v>350</v>
      </c>
      <c r="S32" s="11"/>
      <c r="T32" s="11"/>
      <c r="U32" s="11">
        <v>350</v>
      </c>
      <c r="V32" s="11"/>
      <c r="W32" s="11"/>
      <c r="X32" s="11">
        <v>350</v>
      </c>
      <c r="Y32" s="11"/>
      <c r="Z32" s="11"/>
      <c r="AA32" s="11">
        <v>350</v>
      </c>
      <c r="AB32" s="11">
        <f t="shared" si="6"/>
        <v>1400</v>
      </c>
    </row>
    <row r="33" spans="2:28" outlineLevel="1" collapsed="1" x14ac:dyDescent="0.3">
      <c r="B33" s="10" t="s">
        <v>71</v>
      </c>
      <c r="C33" s="11">
        <v>0</v>
      </c>
      <c r="D33" s="11">
        <v>0</v>
      </c>
      <c r="E33" s="11">
        <v>0</v>
      </c>
      <c r="F33" s="11"/>
      <c r="G33" s="11"/>
      <c r="H33" s="11">
        <v>4736.7</v>
      </c>
      <c r="I33" s="11"/>
      <c r="J33" s="11"/>
      <c r="K33" s="11">
        <v>1612.2</v>
      </c>
      <c r="L33" s="11"/>
      <c r="M33" s="11"/>
      <c r="N33" s="11">
        <v>590.54</v>
      </c>
      <c r="O33" s="11">
        <v>6939.44</v>
      </c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>
        <v>5000</v>
      </c>
      <c r="AB33" s="11">
        <f t="shared" si="6"/>
        <v>5000</v>
      </c>
    </row>
    <row r="34" spans="2:28" x14ac:dyDescent="0.3">
      <c r="B34" s="8" t="s">
        <v>12</v>
      </c>
      <c r="C34" s="9">
        <v>8500</v>
      </c>
      <c r="D34" s="9">
        <v>0</v>
      </c>
      <c r="E34" s="9">
        <v>45</v>
      </c>
      <c r="F34" s="9">
        <v>504.3</v>
      </c>
      <c r="G34" s="9">
        <v>6975</v>
      </c>
      <c r="H34" s="9">
        <v>1113</v>
      </c>
      <c r="I34" s="9">
        <v>397.5</v>
      </c>
      <c r="J34" s="9">
        <v>3000.65</v>
      </c>
      <c r="K34" s="9">
        <v>0</v>
      </c>
      <c r="L34" s="9">
        <v>0</v>
      </c>
      <c r="M34" s="9">
        <v>929</v>
      </c>
      <c r="N34" s="9">
        <v>0</v>
      </c>
      <c r="O34" s="9">
        <v>21464.45</v>
      </c>
      <c r="P34" s="24">
        <f>SUM(P35:P42)</f>
        <v>1050</v>
      </c>
      <c r="Q34" s="24">
        <f t="shared" ref="Q34:AA34" si="8">SUM(Q35:Q42)</f>
        <v>1050</v>
      </c>
      <c r="R34" s="24">
        <f t="shared" si="8"/>
        <v>1050</v>
      </c>
      <c r="S34" s="24">
        <f t="shared" si="8"/>
        <v>1050</v>
      </c>
      <c r="T34" s="24">
        <f t="shared" si="8"/>
        <v>1050</v>
      </c>
      <c r="U34" s="24">
        <f t="shared" si="8"/>
        <v>1050</v>
      </c>
      <c r="V34" s="24">
        <f t="shared" si="8"/>
        <v>0</v>
      </c>
      <c r="W34" s="24">
        <f t="shared" si="8"/>
        <v>0</v>
      </c>
      <c r="X34" s="24">
        <f t="shared" si="8"/>
        <v>1050</v>
      </c>
      <c r="Y34" s="24">
        <f t="shared" si="8"/>
        <v>1050</v>
      </c>
      <c r="Z34" s="24">
        <f t="shared" si="8"/>
        <v>1050</v>
      </c>
      <c r="AA34" s="24">
        <f t="shared" si="8"/>
        <v>1050</v>
      </c>
      <c r="AB34" s="24">
        <f t="shared" si="6"/>
        <v>10500</v>
      </c>
    </row>
    <row r="35" spans="2:28" hidden="1" outlineLevel="1" x14ac:dyDescent="0.3">
      <c r="B35" s="10" t="s">
        <v>88</v>
      </c>
      <c r="C35" s="11">
        <v>8500</v>
      </c>
      <c r="D35" s="11">
        <v>0</v>
      </c>
      <c r="E35" s="11">
        <v>15</v>
      </c>
      <c r="F35" s="11"/>
      <c r="G35" s="11"/>
      <c r="H35" s="11">
        <v>1113</v>
      </c>
      <c r="I35" s="11"/>
      <c r="J35" s="11">
        <v>1376.9</v>
      </c>
      <c r="K35" s="11"/>
      <c r="L35" s="11"/>
      <c r="M35" s="11">
        <v>929</v>
      </c>
      <c r="N35" s="11"/>
      <c r="O35" s="11">
        <v>11933.9</v>
      </c>
      <c r="P35" s="11">
        <v>1000</v>
      </c>
      <c r="Q35" s="11">
        <v>1000</v>
      </c>
      <c r="R35" s="11">
        <v>1000</v>
      </c>
      <c r="S35" s="11">
        <v>1000</v>
      </c>
      <c r="T35" s="11">
        <v>1000</v>
      </c>
      <c r="U35" s="11">
        <v>1000</v>
      </c>
      <c r="V35" s="11"/>
      <c r="W35" s="11"/>
      <c r="X35" s="11">
        <v>1000</v>
      </c>
      <c r="Y35" s="11">
        <v>1000</v>
      </c>
      <c r="Z35" s="11">
        <v>1000</v>
      </c>
      <c r="AA35" s="11">
        <v>1000</v>
      </c>
      <c r="AB35" s="11">
        <f t="shared" si="6"/>
        <v>10000</v>
      </c>
    </row>
    <row r="36" spans="2:28" hidden="1" outlineLevel="1" collapsed="1" x14ac:dyDescent="0.3">
      <c r="B36" s="10" t="s">
        <v>90</v>
      </c>
      <c r="C36" s="11">
        <v>0</v>
      </c>
      <c r="D36" s="11">
        <v>0</v>
      </c>
      <c r="E36" s="11">
        <v>30</v>
      </c>
      <c r="F36" s="11">
        <v>504.3</v>
      </c>
      <c r="G36" s="11"/>
      <c r="H36" s="11"/>
      <c r="I36" s="11"/>
      <c r="J36" s="11"/>
      <c r="K36" s="11"/>
      <c r="L36" s="11"/>
      <c r="M36" s="11"/>
      <c r="N36" s="11"/>
      <c r="O36" s="11">
        <v>534.29999999999995</v>
      </c>
      <c r="P36" s="11">
        <v>50</v>
      </c>
      <c r="Q36" s="11">
        <v>50</v>
      </c>
      <c r="R36" s="11">
        <v>50</v>
      </c>
      <c r="S36" s="11">
        <v>50</v>
      </c>
      <c r="T36" s="11">
        <v>50</v>
      </c>
      <c r="U36" s="11">
        <v>50</v>
      </c>
      <c r="V36" s="11"/>
      <c r="W36" s="11"/>
      <c r="X36" s="11">
        <v>50</v>
      </c>
      <c r="Y36" s="11">
        <v>50</v>
      </c>
      <c r="Z36" s="11">
        <v>50</v>
      </c>
      <c r="AA36" s="11">
        <v>50</v>
      </c>
      <c r="AB36" s="11">
        <f t="shared" si="6"/>
        <v>500</v>
      </c>
    </row>
    <row r="37" spans="2:28" hidden="1" outlineLevel="1" collapsed="1" x14ac:dyDescent="0.3">
      <c r="B37" s="10" t="s">
        <v>94</v>
      </c>
      <c r="C37" s="11">
        <v>0</v>
      </c>
      <c r="D37" s="11">
        <v>0</v>
      </c>
      <c r="E37" s="11">
        <v>0</v>
      </c>
      <c r="F37" s="11"/>
      <c r="G37" s="11"/>
      <c r="H37" s="11"/>
      <c r="I37" s="11"/>
      <c r="J37" s="11"/>
      <c r="K37" s="11"/>
      <c r="L37" s="11"/>
      <c r="M37" s="11"/>
      <c r="N37" s="11"/>
      <c r="O37" s="11">
        <v>0</v>
      </c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>
        <f t="shared" si="6"/>
        <v>0</v>
      </c>
    </row>
    <row r="38" spans="2:28" hidden="1" outlineLevel="1" collapsed="1" x14ac:dyDescent="0.3">
      <c r="B38" s="10" t="s">
        <v>95</v>
      </c>
      <c r="C38" s="11">
        <v>0</v>
      </c>
      <c r="D38" s="11">
        <v>0</v>
      </c>
      <c r="E38" s="11">
        <v>0</v>
      </c>
      <c r="F38" s="11"/>
      <c r="G38" s="11"/>
      <c r="H38" s="11"/>
      <c r="I38" s="11"/>
      <c r="J38" s="11">
        <v>1623.75</v>
      </c>
      <c r="K38" s="11"/>
      <c r="L38" s="11"/>
      <c r="M38" s="11"/>
      <c r="N38" s="11"/>
      <c r="O38" s="11">
        <v>1623.75</v>
      </c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>
        <f t="shared" si="6"/>
        <v>0</v>
      </c>
    </row>
    <row r="39" spans="2:28" hidden="1" outlineLevel="1" collapsed="1" x14ac:dyDescent="0.3">
      <c r="B39" s="10" t="s">
        <v>166</v>
      </c>
      <c r="C39" s="11">
        <v>0</v>
      </c>
      <c r="D39" s="11">
        <v>0</v>
      </c>
      <c r="E39" s="11">
        <v>0</v>
      </c>
      <c r="F39" s="11"/>
      <c r="G39" s="11">
        <v>4280</v>
      </c>
      <c r="H39" s="11"/>
      <c r="I39" s="11"/>
      <c r="J39" s="11"/>
      <c r="K39" s="11"/>
      <c r="L39" s="11"/>
      <c r="M39" s="11"/>
      <c r="N39" s="11"/>
      <c r="O39" s="11">
        <v>4280</v>
      </c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>
        <f t="shared" si="6"/>
        <v>0</v>
      </c>
    </row>
    <row r="40" spans="2:28" hidden="1" outlineLevel="1" collapsed="1" x14ac:dyDescent="0.3">
      <c r="B40" s="10" t="s">
        <v>101</v>
      </c>
      <c r="C40" s="11">
        <v>0</v>
      </c>
      <c r="D40" s="11">
        <v>0</v>
      </c>
      <c r="E40" s="11">
        <v>0</v>
      </c>
      <c r="F40" s="11"/>
      <c r="G40" s="11">
        <v>445</v>
      </c>
      <c r="H40" s="11"/>
      <c r="I40" s="11">
        <v>397.5</v>
      </c>
      <c r="J40" s="11"/>
      <c r="K40" s="11"/>
      <c r="L40" s="11"/>
      <c r="M40" s="11"/>
      <c r="N40" s="11"/>
      <c r="O40" s="11">
        <v>842.5</v>
      </c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>
        <f t="shared" si="6"/>
        <v>0</v>
      </c>
    </row>
    <row r="41" spans="2:28" hidden="1" outlineLevel="1" collapsed="1" x14ac:dyDescent="0.3">
      <c r="B41" s="10" t="s">
        <v>110</v>
      </c>
      <c r="C41" s="11">
        <v>0</v>
      </c>
      <c r="D41" s="11">
        <v>0</v>
      </c>
      <c r="E41" s="11">
        <v>0</v>
      </c>
      <c r="F41" s="11"/>
      <c r="G41" s="11"/>
      <c r="H41" s="11"/>
      <c r="I41" s="11"/>
      <c r="J41" s="11"/>
      <c r="K41" s="11"/>
      <c r="L41" s="11"/>
      <c r="M41" s="11"/>
      <c r="N41" s="11"/>
      <c r="O41" s="11">
        <v>0</v>
      </c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>
        <f t="shared" si="6"/>
        <v>0</v>
      </c>
    </row>
    <row r="42" spans="2:28" hidden="1" outlineLevel="1" collapsed="1" x14ac:dyDescent="0.3">
      <c r="B42" s="10" t="s">
        <v>111</v>
      </c>
      <c r="C42" s="11">
        <v>0</v>
      </c>
      <c r="D42" s="11">
        <v>0</v>
      </c>
      <c r="E42" s="11">
        <v>0</v>
      </c>
      <c r="F42" s="11"/>
      <c r="G42" s="11">
        <v>2250</v>
      </c>
      <c r="H42" s="11"/>
      <c r="I42" s="11"/>
      <c r="J42" s="11"/>
      <c r="K42" s="11"/>
      <c r="L42" s="11"/>
      <c r="M42" s="11"/>
      <c r="N42" s="11"/>
      <c r="O42" s="11">
        <v>2250</v>
      </c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>
        <f t="shared" si="6"/>
        <v>0</v>
      </c>
    </row>
    <row r="43" spans="2:28" collapsed="1" x14ac:dyDescent="0.3">
      <c r="B43" s="8" t="s">
        <v>13</v>
      </c>
      <c r="C43" s="9">
        <v>0</v>
      </c>
      <c r="D43" s="9">
        <v>0</v>
      </c>
      <c r="E43" s="9">
        <v>1401.3</v>
      </c>
      <c r="F43" s="9">
        <v>0</v>
      </c>
      <c r="G43" s="9">
        <v>0</v>
      </c>
      <c r="H43" s="9">
        <v>3173</v>
      </c>
      <c r="I43" s="9">
        <v>537.29999999999995</v>
      </c>
      <c r="J43" s="9">
        <v>0</v>
      </c>
      <c r="K43" s="9">
        <v>0</v>
      </c>
      <c r="L43" s="9">
        <v>0</v>
      </c>
      <c r="M43" s="9">
        <v>0</v>
      </c>
      <c r="N43" s="9">
        <v>1338.58</v>
      </c>
      <c r="O43" s="9">
        <v>6450.18</v>
      </c>
      <c r="P43" s="24">
        <f>SUM(P44:P45)</f>
        <v>1400</v>
      </c>
      <c r="Q43" s="24">
        <f t="shared" ref="Q43:AA43" si="9">SUM(Q44:Q45)</f>
        <v>1400</v>
      </c>
      <c r="R43" s="24">
        <f t="shared" si="9"/>
        <v>1200</v>
      </c>
      <c r="S43" s="24">
        <f t="shared" si="9"/>
        <v>600</v>
      </c>
      <c r="T43" s="24">
        <f t="shared" si="9"/>
        <v>500</v>
      </c>
      <c r="U43" s="24">
        <f t="shared" si="9"/>
        <v>200</v>
      </c>
      <c r="V43" s="24">
        <f t="shared" si="9"/>
        <v>0</v>
      </c>
      <c r="W43" s="24">
        <f t="shared" si="9"/>
        <v>0</v>
      </c>
      <c r="X43" s="24">
        <f t="shared" si="9"/>
        <v>200</v>
      </c>
      <c r="Y43" s="24">
        <f t="shared" si="9"/>
        <v>200</v>
      </c>
      <c r="Z43" s="24">
        <f t="shared" si="9"/>
        <v>300</v>
      </c>
      <c r="AA43" s="24">
        <f t="shared" si="9"/>
        <v>400</v>
      </c>
      <c r="AB43" s="24">
        <f t="shared" si="6"/>
        <v>6400</v>
      </c>
    </row>
    <row r="44" spans="2:28" hidden="1" outlineLevel="1" x14ac:dyDescent="0.3">
      <c r="B44" s="10" t="s">
        <v>120</v>
      </c>
      <c r="C44" s="11">
        <v>0</v>
      </c>
      <c r="D44" s="11">
        <v>0</v>
      </c>
      <c r="E44" s="11">
        <v>1401.3</v>
      </c>
      <c r="F44" s="11"/>
      <c r="G44" s="11"/>
      <c r="H44" s="11">
        <v>3173</v>
      </c>
      <c r="I44" s="11">
        <v>537.29999999999995</v>
      </c>
      <c r="J44" s="11"/>
      <c r="K44" s="11"/>
      <c r="L44" s="11"/>
      <c r="M44" s="11"/>
      <c r="N44" s="11">
        <v>1338.58</v>
      </c>
      <c r="O44" s="11">
        <v>6450.18</v>
      </c>
      <c r="P44" s="11">
        <v>1400</v>
      </c>
      <c r="Q44" s="11">
        <v>1400</v>
      </c>
      <c r="R44" s="11">
        <v>1200</v>
      </c>
      <c r="S44" s="11">
        <v>600</v>
      </c>
      <c r="T44" s="11">
        <v>500</v>
      </c>
      <c r="U44" s="11">
        <v>200</v>
      </c>
      <c r="V44" s="11"/>
      <c r="W44" s="11"/>
      <c r="X44" s="11">
        <v>200</v>
      </c>
      <c r="Y44" s="11">
        <v>200</v>
      </c>
      <c r="Z44" s="11">
        <v>300</v>
      </c>
      <c r="AA44" s="11">
        <v>400</v>
      </c>
      <c r="AB44" s="11">
        <f t="shared" si="6"/>
        <v>6400</v>
      </c>
    </row>
    <row r="45" spans="2:28" hidden="1" outlineLevel="1" collapsed="1" x14ac:dyDescent="0.3">
      <c r="B45" s="10" t="s">
        <v>125</v>
      </c>
      <c r="C45" s="11">
        <v>0</v>
      </c>
      <c r="D45" s="11">
        <v>0</v>
      </c>
      <c r="E45" s="11">
        <v>0</v>
      </c>
      <c r="F45" s="11"/>
      <c r="G45" s="11"/>
      <c r="H45" s="11"/>
      <c r="I45" s="11"/>
      <c r="J45" s="11"/>
      <c r="K45" s="11"/>
      <c r="L45" s="11"/>
      <c r="M45" s="11"/>
      <c r="N45" s="11"/>
      <c r="O45" s="11">
        <v>0</v>
      </c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>
        <f t="shared" si="6"/>
        <v>0</v>
      </c>
    </row>
    <row r="46" spans="2:28" collapsed="1" x14ac:dyDescent="0.3">
      <c r="B46" s="8" t="s">
        <v>14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>
        <f t="shared" si="6"/>
        <v>0</v>
      </c>
    </row>
    <row r="47" spans="2:28" x14ac:dyDescent="0.3">
      <c r="B47" s="8" t="s">
        <v>15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>
        <f t="shared" si="6"/>
        <v>0</v>
      </c>
    </row>
    <row r="48" spans="2:28" collapsed="1" x14ac:dyDescent="0.3">
      <c r="B48" s="8" t="s">
        <v>16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24">
        <f>P49</f>
        <v>0</v>
      </c>
      <c r="Q48" s="24">
        <f t="shared" ref="Q48:AA48" si="10">Q49</f>
        <v>0</v>
      </c>
      <c r="R48" s="24">
        <f t="shared" si="10"/>
        <v>0</v>
      </c>
      <c r="S48" s="24">
        <f t="shared" si="10"/>
        <v>0</v>
      </c>
      <c r="T48" s="24">
        <f t="shared" si="10"/>
        <v>0</v>
      </c>
      <c r="U48" s="24">
        <f t="shared" si="10"/>
        <v>0</v>
      </c>
      <c r="V48" s="24">
        <f t="shared" si="10"/>
        <v>0</v>
      </c>
      <c r="W48" s="24">
        <f t="shared" si="10"/>
        <v>0</v>
      </c>
      <c r="X48" s="24">
        <f t="shared" si="10"/>
        <v>0</v>
      </c>
      <c r="Y48" s="24">
        <f t="shared" si="10"/>
        <v>0</v>
      </c>
      <c r="Z48" s="24">
        <f t="shared" si="10"/>
        <v>0</v>
      </c>
      <c r="AA48" s="24">
        <f t="shared" si="10"/>
        <v>0</v>
      </c>
      <c r="AB48" s="24">
        <f t="shared" si="6"/>
        <v>0</v>
      </c>
    </row>
    <row r="49" spans="2:28" hidden="1" outlineLevel="1" x14ac:dyDescent="0.3">
      <c r="B49" s="10" t="s">
        <v>127</v>
      </c>
      <c r="C49" s="11">
        <v>0</v>
      </c>
      <c r="D49" s="11">
        <v>0</v>
      </c>
      <c r="E49" s="11">
        <v>0</v>
      </c>
      <c r="F49" s="11"/>
      <c r="G49" s="11"/>
      <c r="H49" s="11"/>
      <c r="I49" s="11"/>
      <c r="J49" s="11"/>
      <c r="K49" s="11"/>
      <c r="L49" s="11"/>
      <c r="M49" s="11"/>
      <c r="N49" s="11"/>
      <c r="O49" s="11">
        <v>0</v>
      </c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>
        <f t="shared" si="6"/>
        <v>0</v>
      </c>
    </row>
    <row r="50" spans="2:28" collapsed="1" x14ac:dyDescent="0.3">
      <c r="B50" s="8" t="s">
        <v>5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>
        <f t="shared" si="6"/>
        <v>0</v>
      </c>
    </row>
    <row r="51" spans="2:28" collapsed="1" x14ac:dyDescent="0.3">
      <c r="B51" s="8" t="s">
        <v>17</v>
      </c>
      <c r="C51" s="9">
        <v>0</v>
      </c>
      <c r="D51" s="9">
        <v>0</v>
      </c>
      <c r="E51" s="9">
        <v>17.899999999999999</v>
      </c>
      <c r="F51" s="9">
        <v>200.4</v>
      </c>
      <c r="G51" s="9">
        <v>38.89</v>
      </c>
      <c r="H51" s="9">
        <v>2686.99</v>
      </c>
      <c r="I51" s="9">
        <v>0</v>
      </c>
      <c r="J51" s="9">
        <v>17.11</v>
      </c>
      <c r="K51" s="9">
        <v>11.38</v>
      </c>
      <c r="L51" s="9">
        <v>0</v>
      </c>
      <c r="M51" s="9">
        <v>15.75</v>
      </c>
      <c r="N51" s="9">
        <v>172.42</v>
      </c>
      <c r="O51" s="9">
        <v>3160.84</v>
      </c>
      <c r="P51" s="24">
        <f>SUM(P52:P54)</f>
        <v>50</v>
      </c>
      <c r="Q51" s="24">
        <f t="shared" ref="Q51:AA51" si="11">SUM(Q52:Q54)</f>
        <v>50</v>
      </c>
      <c r="R51" s="24">
        <f t="shared" si="11"/>
        <v>2710</v>
      </c>
      <c r="S51" s="24">
        <f t="shared" si="11"/>
        <v>50</v>
      </c>
      <c r="T51" s="24">
        <f t="shared" si="11"/>
        <v>50</v>
      </c>
      <c r="U51" s="24">
        <f t="shared" si="11"/>
        <v>50</v>
      </c>
      <c r="V51" s="24">
        <f t="shared" si="11"/>
        <v>0</v>
      </c>
      <c r="W51" s="24">
        <f t="shared" si="11"/>
        <v>0</v>
      </c>
      <c r="X51" s="24">
        <f t="shared" si="11"/>
        <v>50</v>
      </c>
      <c r="Y51" s="24">
        <f t="shared" si="11"/>
        <v>50</v>
      </c>
      <c r="Z51" s="24">
        <f t="shared" si="11"/>
        <v>50</v>
      </c>
      <c r="AA51" s="24">
        <f t="shared" si="11"/>
        <v>50</v>
      </c>
      <c r="AB51" s="24">
        <f t="shared" si="6"/>
        <v>3160</v>
      </c>
    </row>
    <row r="52" spans="2:28" hidden="1" outlineLevel="1" x14ac:dyDescent="0.3">
      <c r="B52" s="10" t="s">
        <v>167</v>
      </c>
      <c r="C52" s="11">
        <v>0</v>
      </c>
      <c r="D52" s="11">
        <v>0</v>
      </c>
      <c r="E52" s="11">
        <v>0</v>
      </c>
      <c r="F52" s="11"/>
      <c r="G52" s="11"/>
      <c r="H52" s="11">
        <v>2660</v>
      </c>
      <c r="I52" s="11"/>
      <c r="J52" s="11"/>
      <c r="K52" s="11"/>
      <c r="L52" s="11"/>
      <c r="M52" s="11"/>
      <c r="N52" s="11"/>
      <c r="O52" s="11">
        <v>2660</v>
      </c>
      <c r="P52" s="11"/>
      <c r="Q52" s="11"/>
      <c r="R52" s="11">
        <v>2660</v>
      </c>
      <c r="S52" s="11"/>
      <c r="T52" s="11"/>
      <c r="U52" s="11"/>
      <c r="V52" s="11"/>
      <c r="W52" s="11"/>
      <c r="X52" s="11"/>
      <c r="Y52" s="11"/>
      <c r="Z52" s="11"/>
      <c r="AA52" s="11"/>
      <c r="AB52" s="11">
        <f t="shared" si="6"/>
        <v>2660</v>
      </c>
    </row>
    <row r="53" spans="2:28" hidden="1" outlineLevel="1" collapsed="1" x14ac:dyDescent="0.3">
      <c r="B53" s="10" t="s">
        <v>132</v>
      </c>
      <c r="C53" s="11">
        <v>0</v>
      </c>
      <c r="D53" s="11">
        <v>0</v>
      </c>
      <c r="E53" s="11">
        <v>0</v>
      </c>
      <c r="F53" s="11"/>
      <c r="G53" s="11"/>
      <c r="H53" s="11"/>
      <c r="I53" s="11"/>
      <c r="J53" s="11"/>
      <c r="K53" s="11"/>
      <c r="L53" s="11"/>
      <c r="M53" s="11"/>
      <c r="N53" s="11"/>
      <c r="O53" s="11">
        <v>0</v>
      </c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>
        <f t="shared" si="6"/>
        <v>0</v>
      </c>
    </row>
    <row r="54" spans="2:28" hidden="1" outlineLevel="1" collapsed="1" x14ac:dyDescent="0.3">
      <c r="B54" s="10" t="s">
        <v>134</v>
      </c>
      <c r="C54" s="11">
        <v>0</v>
      </c>
      <c r="D54" s="11">
        <v>0</v>
      </c>
      <c r="E54" s="11">
        <v>17.899999999999999</v>
      </c>
      <c r="F54" s="11">
        <v>200.4</v>
      </c>
      <c r="G54" s="11">
        <v>38.89</v>
      </c>
      <c r="H54" s="11">
        <v>26.99</v>
      </c>
      <c r="I54" s="11"/>
      <c r="J54" s="11">
        <v>17.11</v>
      </c>
      <c r="K54" s="11">
        <v>11.38</v>
      </c>
      <c r="L54" s="11"/>
      <c r="M54" s="11">
        <v>15.75</v>
      </c>
      <c r="N54" s="11">
        <v>172.42</v>
      </c>
      <c r="O54" s="11">
        <v>500.84000000000003</v>
      </c>
      <c r="P54" s="11">
        <v>50</v>
      </c>
      <c r="Q54" s="11">
        <v>50</v>
      </c>
      <c r="R54" s="11">
        <v>50</v>
      </c>
      <c r="S54" s="11">
        <v>50</v>
      </c>
      <c r="T54" s="11">
        <v>50</v>
      </c>
      <c r="U54" s="11">
        <v>50</v>
      </c>
      <c r="V54" s="11"/>
      <c r="W54" s="11"/>
      <c r="X54" s="11">
        <v>50</v>
      </c>
      <c r="Y54" s="11">
        <v>50</v>
      </c>
      <c r="Z54" s="11">
        <v>50</v>
      </c>
      <c r="AA54" s="11">
        <v>50</v>
      </c>
      <c r="AB54" s="11">
        <f t="shared" si="6"/>
        <v>500</v>
      </c>
    </row>
    <row r="55" spans="2:28" collapsed="1" x14ac:dyDescent="0.3">
      <c r="B55" s="15" t="s">
        <v>18</v>
      </c>
      <c r="C55" s="16">
        <v>8500</v>
      </c>
      <c r="D55" s="16">
        <v>0</v>
      </c>
      <c r="E55" s="16">
        <v>1464.2</v>
      </c>
      <c r="F55" s="16">
        <v>9204.6999999999989</v>
      </c>
      <c r="G55" s="16">
        <v>7013.89</v>
      </c>
      <c r="H55" s="16">
        <v>12459.69</v>
      </c>
      <c r="I55" s="16">
        <v>934.8</v>
      </c>
      <c r="J55" s="16">
        <v>3017.76</v>
      </c>
      <c r="K55" s="16">
        <v>2373.58</v>
      </c>
      <c r="L55" s="16">
        <v>0</v>
      </c>
      <c r="M55" s="16">
        <v>944.75</v>
      </c>
      <c r="N55" s="16">
        <v>2851.54</v>
      </c>
      <c r="O55" s="16">
        <v>48764.910000000011</v>
      </c>
      <c r="P55" s="25">
        <f>P26+P31+P34+P43+P46+P47+P48+P50+P51</f>
        <v>3500</v>
      </c>
      <c r="Q55" s="25">
        <f t="shared" ref="Q55:AA55" si="12">Q26+Q31+Q34+Q43+Q46+Q47+Q48+Q50+Q51</f>
        <v>3500</v>
      </c>
      <c r="R55" s="25">
        <f t="shared" si="12"/>
        <v>6310</v>
      </c>
      <c r="S55" s="25">
        <f t="shared" si="12"/>
        <v>2700</v>
      </c>
      <c r="T55" s="25">
        <f t="shared" si="12"/>
        <v>1600</v>
      </c>
      <c r="U55" s="25">
        <f t="shared" si="12"/>
        <v>1650</v>
      </c>
      <c r="V55" s="25">
        <f t="shared" si="12"/>
        <v>0</v>
      </c>
      <c r="W55" s="25">
        <f t="shared" si="12"/>
        <v>0</v>
      </c>
      <c r="X55" s="25">
        <f t="shared" si="12"/>
        <v>7650</v>
      </c>
      <c r="Y55" s="25">
        <f t="shared" si="12"/>
        <v>1300</v>
      </c>
      <c r="Z55" s="25">
        <f t="shared" si="12"/>
        <v>1400</v>
      </c>
      <c r="AA55" s="25">
        <f t="shared" si="12"/>
        <v>6850</v>
      </c>
      <c r="AB55" s="25">
        <f t="shared" si="6"/>
        <v>36460</v>
      </c>
    </row>
    <row r="56" spans="2:28" x14ac:dyDescent="0.3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2:28" x14ac:dyDescent="0.3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</row>
    <row r="58" spans="2:28" collapsed="1" x14ac:dyDescent="0.3">
      <c r="B58" s="8" t="s">
        <v>19</v>
      </c>
      <c r="C58" s="9">
        <v>0</v>
      </c>
      <c r="D58" s="9">
        <v>0</v>
      </c>
      <c r="E58" s="9">
        <v>-103.35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-103.35</v>
      </c>
      <c r="P58" s="24">
        <f>P59</f>
        <v>0</v>
      </c>
      <c r="Q58" s="24">
        <f t="shared" ref="Q58:AA58" si="13">Q59</f>
        <v>0</v>
      </c>
      <c r="R58" s="24">
        <f t="shared" si="13"/>
        <v>0</v>
      </c>
      <c r="S58" s="24">
        <f t="shared" si="13"/>
        <v>0</v>
      </c>
      <c r="T58" s="24">
        <f t="shared" si="13"/>
        <v>0</v>
      </c>
      <c r="U58" s="24">
        <f t="shared" si="13"/>
        <v>0</v>
      </c>
      <c r="V58" s="24">
        <f t="shared" si="13"/>
        <v>0</v>
      </c>
      <c r="W58" s="24">
        <f t="shared" si="13"/>
        <v>0</v>
      </c>
      <c r="X58" s="24">
        <f t="shared" si="13"/>
        <v>0</v>
      </c>
      <c r="Y58" s="24">
        <f t="shared" si="13"/>
        <v>0</v>
      </c>
      <c r="Z58" s="24">
        <f t="shared" si="13"/>
        <v>0</v>
      </c>
      <c r="AA58" s="24">
        <f t="shared" si="13"/>
        <v>0</v>
      </c>
      <c r="AB58" s="24">
        <f t="shared" ref="AB58:AB60" si="14">SUM(P58:AA58)</f>
        <v>0</v>
      </c>
    </row>
    <row r="59" spans="2:28" hidden="1" outlineLevel="1" x14ac:dyDescent="0.3">
      <c r="B59" s="10" t="s">
        <v>137</v>
      </c>
      <c r="C59" s="11">
        <v>0</v>
      </c>
      <c r="D59" s="11">
        <v>0</v>
      </c>
      <c r="E59" s="11">
        <v>-103.35</v>
      </c>
      <c r="F59" s="11"/>
      <c r="G59" s="11"/>
      <c r="H59" s="11"/>
      <c r="I59" s="11"/>
      <c r="J59" s="11"/>
      <c r="K59" s="11"/>
      <c r="L59" s="11"/>
      <c r="M59" s="11"/>
      <c r="N59" s="11"/>
      <c r="O59" s="11">
        <v>-103.35</v>
      </c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>
        <f t="shared" si="14"/>
        <v>0</v>
      </c>
    </row>
    <row r="60" spans="2:28" ht="16.2" collapsed="1" thickBot="1" x14ac:dyDescent="0.35">
      <c r="B60" s="12" t="s">
        <v>20</v>
      </c>
      <c r="C60" s="13">
        <v>8500</v>
      </c>
      <c r="D60" s="13">
        <v>-9420</v>
      </c>
      <c r="E60" s="13">
        <v>337.85</v>
      </c>
      <c r="F60" s="13">
        <v>-2231.3000000000011</v>
      </c>
      <c r="G60" s="13">
        <v>4793.8900000000003</v>
      </c>
      <c r="H60" s="13">
        <v>10919.69</v>
      </c>
      <c r="I60" s="13">
        <v>934.8</v>
      </c>
      <c r="J60" s="13">
        <v>2042.7600000000002</v>
      </c>
      <c r="K60" s="13">
        <v>-18826.419999999998</v>
      </c>
      <c r="L60" s="13">
        <v>0</v>
      </c>
      <c r="M60" s="13">
        <v>44.75</v>
      </c>
      <c r="N60" s="13">
        <v>-6988.46</v>
      </c>
      <c r="O60" s="13">
        <v>-9892.4399999999987</v>
      </c>
      <c r="P60" s="26">
        <f>P22+P55+P58</f>
        <v>-1500</v>
      </c>
      <c r="Q60" s="26">
        <f t="shared" ref="Q60:AA60" si="15">Q22+Q55+Q58</f>
        <v>-1500</v>
      </c>
      <c r="R60" s="26">
        <f t="shared" si="15"/>
        <v>1310</v>
      </c>
      <c r="S60" s="26">
        <f t="shared" si="15"/>
        <v>-2300</v>
      </c>
      <c r="T60" s="26">
        <f t="shared" si="15"/>
        <v>-2400</v>
      </c>
      <c r="U60" s="26">
        <f t="shared" si="15"/>
        <v>-18350</v>
      </c>
      <c r="V60" s="26">
        <f t="shared" si="15"/>
        <v>0</v>
      </c>
      <c r="W60" s="26">
        <f t="shared" si="15"/>
        <v>-1000</v>
      </c>
      <c r="X60" s="26">
        <f t="shared" si="15"/>
        <v>6650</v>
      </c>
      <c r="Y60" s="26">
        <f t="shared" si="15"/>
        <v>-7700</v>
      </c>
      <c r="Z60" s="26">
        <f t="shared" si="15"/>
        <v>400</v>
      </c>
      <c r="AA60" s="26">
        <f t="shared" si="15"/>
        <v>5850</v>
      </c>
      <c r="AB60" s="26">
        <f t="shared" si="14"/>
        <v>-20540</v>
      </c>
    </row>
    <row r="61" spans="2:28" ht="15" thickTop="1" x14ac:dyDescent="0.3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09507-D2D6-4ED9-B8B6-57442D4C5BCF}">
  <dimension ref="B1:AC152"/>
  <sheetViews>
    <sheetView zoomScale="110" zoomScaleNormal="110" workbookViewId="0">
      <pane ySplit="5" topLeftCell="A126" activePane="bottomLeft" state="frozen"/>
      <selection activeCell="B1" sqref="B1"/>
      <selection pane="bottomLeft" activeCell="Y23" sqref="Y23"/>
    </sheetView>
  </sheetViews>
  <sheetFormatPr baseColWidth="10" defaultRowHeight="14.4" outlineLevelRow="1" outlineLevelCol="1" x14ac:dyDescent="0.3"/>
  <cols>
    <col min="2" max="2" width="50" bestFit="1" customWidth="1"/>
    <col min="3" max="5" width="11.109375" hidden="1" customWidth="1" outlineLevel="1"/>
    <col min="6" max="6" width="10.44140625" hidden="1" customWidth="1" outlineLevel="1"/>
    <col min="7" max="7" width="9.5546875" hidden="1" customWidth="1" outlineLevel="1"/>
    <col min="8" max="9" width="11.109375" hidden="1" customWidth="1" outlineLevel="1"/>
    <col min="10" max="10" width="10" hidden="1" customWidth="1" outlineLevel="1"/>
    <col min="11" max="13" width="10.44140625" hidden="1" customWidth="1" outlineLevel="1"/>
    <col min="14" max="14" width="11.109375" hidden="1" customWidth="1" outlineLevel="1"/>
    <col min="15" max="15" width="12" bestFit="1" customWidth="1" collapsed="1"/>
    <col min="16" max="17" width="10" bestFit="1" customWidth="1" outlineLevel="1" collapsed="1"/>
    <col min="18" max="20" width="11.109375" bestFit="1" customWidth="1" outlineLevel="1" collapsed="1"/>
    <col min="21" max="21" width="10.44140625" bestFit="1" customWidth="1" outlineLevel="1" collapsed="1"/>
    <col min="22" max="23" width="10" bestFit="1" customWidth="1" outlineLevel="1" collapsed="1"/>
    <col min="24" max="24" width="11.109375" bestFit="1" customWidth="1" outlineLevel="1" collapsed="1"/>
    <col min="25" max="25" width="11.33203125" bestFit="1" customWidth="1" outlineLevel="1" collapsed="1"/>
    <col min="26" max="26" width="10.44140625" bestFit="1" customWidth="1" outlineLevel="1" collapsed="1"/>
    <col min="27" max="27" width="12" bestFit="1" customWidth="1" outlineLevel="1" collapsed="1"/>
    <col min="28" max="28" width="14.88671875" bestFit="1" customWidth="1"/>
  </cols>
  <sheetData>
    <row r="1" spans="2:28" hidden="1" x14ac:dyDescent="0.3"/>
    <row r="2" spans="2:28" ht="25.8" hidden="1" x14ac:dyDescent="0.5">
      <c r="B2" s="1" t="s">
        <v>0</v>
      </c>
    </row>
    <row r="3" spans="2:28" hidden="1" x14ac:dyDescent="0.3"/>
    <row r="4" spans="2:28" ht="15.6" x14ac:dyDescent="0.3">
      <c r="B4" s="2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 t="s">
        <v>1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 t="s">
        <v>154</v>
      </c>
    </row>
    <row r="5" spans="2:28" x14ac:dyDescent="0.3">
      <c r="B5" s="4"/>
      <c r="C5" s="14">
        <v>44470</v>
      </c>
      <c r="D5" s="14">
        <v>44501</v>
      </c>
      <c r="E5" s="14">
        <v>44531</v>
      </c>
      <c r="F5" s="14">
        <v>44562</v>
      </c>
      <c r="G5" s="14">
        <v>44593</v>
      </c>
      <c r="H5" s="14">
        <v>44621</v>
      </c>
      <c r="I5" s="14">
        <v>44652</v>
      </c>
      <c r="J5" s="14">
        <v>44682</v>
      </c>
      <c r="K5" s="14">
        <v>44713</v>
      </c>
      <c r="L5" s="14">
        <v>44743</v>
      </c>
      <c r="M5" s="14">
        <v>44774</v>
      </c>
      <c r="N5" s="14">
        <v>44805</v>
      </c>
      <c r="O5" s="14" t="s">
        <v>141</v>
      </c>
      <c r="P5" s="14" t="s">
        <v>142</v>
      </c>
      <c r="Q5" s="14" t="s">
        <v>143</v>
      </c>
      <c r="R5" s="14" t="s">
        <v>144</v>
      </c>
      <c r="S5" s="14" t="s">
        <v>145</v>
      </c>
      <c r="T5" s="14" t="s">
        <v>146</v>
      </c>
      <c r="U5" s="14" t="s">
        <v>147</v>
      </c>
      <c r="V5" s="14" t="s">
        <v>148</v>
      </c>
      <c r="W5" s="14" t="s">
        <v>149</v>
      </c>
      <c r="X5" s="14" t="s">
        <v>150</v>
      </c>
      <c r="Y5" s="14" t="s">
        <v>151</v>
      </c>
      <c r="Z5" s="14" t="s">
        <v>152</v>
      </c>
      <c r="AA5" s="14" t="s">
        <v>153</v>
      </c>
      <c r="AB5" s="14" t="s">
        <v>2</v>
      </c>
    </row>
    <row r="6" spans="2:28" x14ac:dyDescent="0.3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 ht="21" x14ac:dyDescent="0.4">
      <c r="B7" s="6" t="s">
        <v>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collapsed="1" x14ac:dyDescent="0.3">
      <c r="B8" s="8" t="s">
        <v>4</v>
      </c>
      <c r="C8" s="9">
        <v>-43084.33</v>
      </c>
      <c r="D8" s="9">
        <v>-8519.7099999999955</v>
      </c>
      <c r="E8" s="9">
        <v>-243018.61</v>
      </c>
      <c r="F8" s="9">
        <v>-81187</v>
      </c>
      <c r="G8" s="9">
        <v>-230339.49</v>
      </c>
      <c r="H8" s="9">
        <v>-98677.87</v>
      </c>
      <c r="I8" s="9">
        <v>-751114</v>
      </c>
      <c r="J8" s="9">
        <v>-166155.28</v>
      </c>
      <c r="K8" s="9">
        <v>426497.8</v>
      </c>
      <c r="L8" s="9">
        <v>-6041.74</v>
      </c>
      <c r="M8" s="9">
        <v>-135263.35</v>
      </c>
      <c r="N8" s="9">
        <v>-354643.62</v>
      </c>
      <c r="O8" s="9">
        <v>-1691547.1999999997</v>
      </c>
      <c r="P8" s="9">
        <f>SUM(P9:P16)</f>
        <v>-90000</v>
      </c>
      <c r="Q8" s="9">
        <f t="shared" ref="Q8:AA8" si="0">SUM(Q9:Q16)</f>
        <v>-240000</v>
      </c>
      <c r="R8" s="9">
        <f t="shared" si="0"/>
        <v>-130000</v>
      </c>
      <c r="S8" s="9">
        <f t="shared" si="0"/>
        <v>-736666.66666666663</v>
      </c>
      <c r="T8" s="9">
        <f t="shared" si="0"/>
        <v>-65000</v>
      </c>
      <c r="U8" s="9">
        <f t="shared" si="0"/>
        <v>445000</v>
      </c>
      <c r="V8" s="9">
        <f t="shared" si="0"/>
        <v>0</v>
      </c>
      <c r="W8" s="9">
        <f t="shared" si="0"/>
        <v>-327667</v>
      </c>
      <c r="X8" s="9">
        <f t="shared" si="0"/>
        <v>-210000</v>
      </c>
      <c r="Y8" s="9">
        <f t="shared" si="0"/>
        <v>116000</v>
      </c>
      <c r="Z8" s="9">
        <f t="shared" si="0"/>
        <v>-80000</v>
      </c>
      <c r="AA8" s="9">
        <f t="shared" si="0"/>
        <v>-441666</v>
      </c>
      <c r="AB8" s="9">
        <f>SUM(P8:AA8)</f>
        <v>-1759999.6666666665</v>
      </c>
    </row>
    <row r="9" spans="2:28" outlineLevel="1" x14ac:dyDescent="0.3">
      <c r="B9" s="10" t="s">
        <v>22</v>
      </c>
      <c r="C9" s="11">
        <v>0</v>
      </c>
      <c r="D9" s="11">
        <v>-185125</v>
      </c>
      <c r="E9" s="11">
        <v>-21500</v>
      </c>
      <c r="F9" s="11"/>
      <c r="G9" s="11"/>
      <c r="H9" s="11"/>
      <c r="I9" s="11">
        <v>-667925</v>
      </c>
      <c r="J9" s="11">
        <v>0</v>
      </c>
      <c r="K9" s="11"/>
      <c r="L9" s="11"/>
      <c r="M9" s="11"/>
      <c r="N9" s="11">
        <v>-173125</v>
      </c>
      <c r="O9" s="11">
        <v>-1047675</v>
      </c>
      <c r="P9" s="11"/>
      <c r="Q9" s="11"/>
      <c r="R9" s="11"/>
      <c r="S9" s="11">
        <v>-585000</v>
      </c>
      <c r="T9" s="11"/>
      <c r="U9" s="11"/>
      <c r="V9" s="11"/>
      <c r="W9" s="11">
        <v>-221000</v>
      </c>
      <c r="X9" s="11"/>
      <c r="Y9" s="11"/>
      <c r="Z9" s="11"/>
      <c r="AA9" s="11"/>
      <c r="AB9" s="11">
        <f t="shared" ref="AB9:AB72" si="1">SUM(P9:AA9)</f>
        <v>-806000</v>
      </c>
    </row>
    <row r="10" spans="2:28" outlineLevel="1" collapsed="1" x14ac:dyDescent="0.3">
      <c r="B10" s="10" t="s">
        <v>23</v>
      </c>
      <c r="C10" s="11">
        <v>0</v>
      </c>
      <c r="D10" s="11">
        <v>247530</v>
      </c>
      <c r="E10" s="11">
        <v>0</v>
      </c>
      <c r="F10" s="11"/>
      <c r="G10" s="11"/>
      <c r="H10" s="11"/>
      <c r="I10" s="11"/>
      <c r="J10" s="11"/>
      <c r="K10" s="11">
        <v>509326</v>
      </c>
      <c r="L10" s="11">
        <v>0</v>
      </c>
      <c r="M10" s="11"/>
      <c r="N10" s="11">
        <v>-42500</v>
      </c>
      <c r="O10" s="11">
        <v>714356</v>
      </c>
      <c r="P10" s="11"/>
      <c r="Q10" s="11"/>
      <c r="R10" s="11"/>
      <c r="S10" s="11"/>
      <c r="T10" s="11"/>
      <c r="U10" s="11">
        <v>520000</v>
      </c>
      <c r="V10" s="11"/>
      <c r="W10" s="11"/>
      <c r="X10" s="11"/>
      <c r="Y10" s="11">
        <v>191000</v>
      </c>
      <c r="Z10" s="11"/>
      <c r="AA10" s="11"/>
      <c r="AB10" s="11">
        <f t="shared" si="1"/>
        <v>711000</v>
      </c>
    </row>
    <row r="11" spans="2:28" outlineLevel="1" collapsed="1" x14ac:dyDescent="0.3">
      <c r="B11" s="10" t="s">
        <v>24</v>
      </c>
      <c r="C11" s="11">
        <v>-27768.21</v>
      </c>
      <c r="D11" s="11">
        <v>-42150.45</v>
      </c>
      <c r="E11" s="11">
        <v>127938.42</v>
      </c>
      <c r="F11" s="11">
        <v>-5270</v>
      </c>
      <c r="G11" s="11">
        <v>-8688.4</v>
      </c>
      <c r="H11" s="11">
        <v>-22557.4</v>
      </c>
      <c r="I11" s="11">
        <v>-21133</v>
      </c>
      <c r="J11" s="11">
        <v>-62704.6</v>
      </c>
      <c r="K11" s="11">
        <v>-55468.2</v>
      </c>
      <c r="L11" s="11"/>
      <c r="M11" s="11">
        <v>-95784.2</v>
      </c>
      <c r="N11" s="11">
        <v>-34742</v>
      </c>
      <c r="O11" s="11">
        <v>-248328.03999999998</v>
      </c>
      <c r="P11" s="11">
        <v>-25000</v>
      </c>
      <c r="Q11" s="11">
        <v>-30000</v>
      </c>
      <c r="R11" s="11">
        <v>-30000</v>
      </c>
      <c r="S11" s="11">
        <v>-35000</v>
      </c>
      <c r="T11" s="11">
        <v>-35000</v>
      </c>
      <c r="U11" s="11">
        <v>-45000</v>
      </c>
      <c r="V11" s="11">
        <v>0</v>
      </c>
      <c r="W11" s="11">
        <v>-30000</v>
      </c>
      <c r="X11" s="11">
        <v>-150000</v>
      </c>
      <c r="Y11" s="11">
        <v>-45000</v>
      </c>
      <c r="Z11" s="11">
        <v>-45000</v>
      </c>
      <c r="AA11" s="11">
        <v>-30000</v>
      </c>
      <c r="AB11" s="11">
        <f t="shared" si="1"/>
        <v>-500000</v>
      </c>
    </row>
    <row r="12" spans="2:28" outlineLevel="1" collapsed="1" x14ac:dyDescent="0.3">
      <c r="B12" s="10" t="s">
        <v>25</v>
      </c>
      <c r="C12" s="11">
        <v>0</v>
      </c>
      <c r="D12" s="11">
        <v>0</v>
      </c>
      <c r="E12" s="11">
        <v>-77129.08</v>
      </c>
      <c r="F12" s="11"/>
      <c r="G12" s="11"/>
      <c r="H12" s="11"/>
      <c r="I12" s="11"/>
      <c r="J12" s="11">
        <v>-78993.679999999993</v>
      </c>
      <c r="K12" s="11"/>
      <c r="L12" s="11"/>
      <c r="M12" s="11"/>
      <c r="N12" s="11">
        <v>-81714.09</v>
      </c>
      <c r="O12" s="11">
        <v>-237836.85</v>
      </c>
      <c r="P12" s="11"/>
      <c r="Q12" s="11"/>
      <c r="R12" s="11"/>
      <c r="S12" s="11">
        <f>-230000/3</f>
        <v>-76666.666666666672</v>
      </c>
      <c r="T12" s="11"/>
      <c r="U12" s="11"/>
      <c r="V12" s="11"/>
      <c r="W12" s="11">
        <v>-76667</v>
      </c>
      <c r="X12" s="11"/>
      <c r="Y12" s="11"/>
      <c r="Z12" s="11"/>
      <c r="AA12" s="11">
        <v>-76666</v>
      </c>
      <c r="AB12" s="11">
        <f t="shared" si="1"/>
        <v>-229999.66666666669</v>
      </c>
    </row>
    <row r="13" spans="2:28" outlineLevel="1" collapsed="1" x14ac:dyDescent="0.3">
      <c r="B13" s="10" t="s">
        <v>26</v>
      </c>
      <c r="C13" s="11">
        <v>-12371.12</v>
      </c>
      <c r="D13" s="11">
        <v>-2043.26</v>
      </c>
      <c r="E13" s="11">
        <v>-6918</v>
      </c>
      <c r="F13" s="11">
        <v>-70885</v>
      </c>
      <c r="G13" s="11">
        <v>-208970.09</v>
      </c>
      <c r="H13" s="11">
        <v>-59906.47</v>
      </c>
      <c r="I13" s="11">
        <v>-11844</v>
      </c>
      <c r="J13" s="11">
        <v>-8296</v>
      </c>
      <c r="K13" s="11">
        <v>-8140</v>
      </c>
      <c r="L13" s="11">
        <v>-5722.74</v>
      </c>
      <c r="M13" s="11">
        <v>-6728.8</v>
      </c>
      <c r="N13" s="11">
        <v>-9242.5300000000007</v>
      </c>
      <c r="O13" s="11">
        <v>-411068.00999999995</v>
      </c>
      <c r="P13" s="11">
        <v>-60000</v>
      </c>
      <c r="Q13" s="11">
        <v>-190000</v>
      </c>
      <c r="R13" s="11">
        <v>-75000</v>
      </c>
      <c r="S13" s="11">
        <v>-10000</v>
      </c>
      <c r="T13" s="11">
        <v>-10000</v>
      </c>
      <c r="U13" s="11">
        <v>-10000</v>
      </c>
      <c r="V13" s="11"/>
      <c r="W13" s="11"/>
      <c r="X13" s="11">
        <v>-10000</v>
      </c>
      <c r="Y13" s="11">
        <v>-10000</v>
      </c>
      <c r="Z13" s="11">
        <v>-15000</v>
      </c>
      <c r="AA13" s="11">
        <v>-10000</v>
      </c>
      <c r="AB13" s="11">
        <f t="shared" si="1"/>
        <v>-400000</v>
      </c>
    </row>
    <row r="14" spans="2:28" outlineLevel="1" collapsed="1" x14ac:dyDescent="0.3">
      <c r="B14" s="10" t="s">
        <v>27</v>
      </c>
      <c r="C14" s="11">
        <v>0</v>
      </c>
      <c r="D14" s="11">
        <v>0</v>
      </c>
      <c r="E14" s="11">
        <v>0</v>
      </c>
      <c r="F14" s="11"/>
      <c r="G14" s="11"/>
      <c r="H14" s="11"/>
      <c r="I14" s="11"/>
      <c r="J14" s="11"/>
      <c r="K14" s="11">
        <v>-1000</v>
      </c>
      <c r="L14" s="11"/>
      <c r="M14" s="11"/>
      <c r="N14" s="11"/>
      <c r="O14" s="11">
        <v>-1000</v>
      </c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>
        <f t="shared" si="1"/>
        <v>0</v>
      </c>
    </row>
    <row r="15" spans="2:28" outlineLevel="1" collapsed="1" x14ac:dyDescent="0.3">
      <c r="B15" s="10" t="s">
        <v>28</v>
      </c>
      <c r="C15" s="11">
        <v>-2945</v>
      </c>
      <c r="D15" s="11">
        <v>-26731</v>
      </c>
      <c r="E15" s="11">
        <v>92931.6</v>
      </c>
      <c r="F15" s="11">
        <v>-5032</v>
      </c>
      <c r="G15" s="11">
        <v>-12681</v>
      </c>
      <c r="H15" s="11">
        <v>-16214</v>
      </c>
      <c r="I15" s="11">
        <v>-50212</v>
      </c>
      <c r="J15" s="11">
        <v>-16161</v>
      </c>
      <c r="K15" s="11">
        <v>-18220</v>
      </c>
      <c r="L15" s="11">
        <v>-319</v>
      </c>
      <c r="M15" s="11">
        <v>-32750.35</v>
      </c>
      <c r="N15" s="11">
        <v>-13320</v>
      </c>
      <c r="O15" s="11">
        <v>-101653.75</v>
      </c>
      <c r="P15" s="11">
        <v>-5000</v>
      </c>
      <c r="Q15" s="11">
        <v>-20000</v>
      </c>
      <c r="R15" s="11">
        <v>-25000</v>
      </c>
      <c r="S15" s="11">
        <v>-30000</v>
      </c>
      <c r="T15" s="11">
        <v>-20000</v>
      </c>
      <c r="U15" s="11">
        <v>-20000</v>
      </c>
      <c r="V15" s="11"/>
      <c r="W15" s="11"/>
      <c r="X15" s="11">
        <v>-50000</v>
      </c>
      <c r="Y15" s="11">
        <v>-20000</v>
      </c>
      <c r="Z15" s="11">
        <v>-20000</v>
      </c>
      <c r="AA15" s="11">
        <v>-25000</v>
      </c>
      <c r="AB15" s="11">
        <f t="shared" si="1"/>
        <v>-235000</v>
      </c>
    </row>
    <row r="16" spans="2:28" outlineLevel="1" collapsed="1" x14ac:dyDescent="0.3">
      <c r="B16" s="10" t="s">
        <v>29</v>
      </c>
      <c r="C16" s="11">
        <v>0</v>
      </c>
      <c r="D16" s="11">
        <v>0</v>
      </c>
      <c r="E16" s="11">
        <v>-358341.55</v>
      </c>
      <c r="F16" s="11"/>
      <c r="G16" s="11"/>
      <c r="H16" s="11"/>
      <c r="I16" s="11"/>
      <c r="J16" s="11"/>
      <c r="K16" s="11"/>
      <c r="L16" s="11"/>
      <c r="M16" s="11"/>
      <c r="N16" s="11"/>
      <c r="O16" s="11">
        <v>-358341.55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>
        <v>-300000</v>
      </c>
      <c r="AB16" s="11">
        <f t="shared" si="1"/>
        <v>-300000</v>
      </c>
    </row>
    <row r="17" spans="2:28" x14ac:dyDescent="0.3">
      <c r="B17" s="8" t="s">
        <v>5</v>
      </c>
      <c r="C17" s="9">
        <v>0</v>
      </c>
      <c r="D17" s="9">
        <v>-850285</v>
      </c>
      <c r="E17" s="9">
        <v>-417889</v>
      </c>
      <c r="F17" s="9">
        <v>28062</v>
      </c>
      <c r="G17" s="9">
        <v>0</v>
      </c>
      <c r="H17" s="9">
        <v>0</v>
      </c>
      <c r="I17" s="9">
        <v>-109386.28</v>
      </c>
      <c r="J17" s="9">
        <v>0</v>
      </c>
      <c r="K17" s="9">
        <v>-446368.74</v>
      </c>
      <c r="L17" s="9">
        <v>0</v>
      </c>
      <c r="M17" s="9">
        <v>0</v>
      </c>
      <c r="N17" s="9">
        <v>88886.28</v>
      </c>
      <c r="O17" s="9">
        <v>-1706980.74</v>
      </c>
      <c r="P17" s="9">
        <f>SUM(P18:P20)</f>
        <v>0</v>
      </c>
      <c r="Q17" s="9">
        <f t="shared" ref="Q17:AA17" si="2">SUM(Q18:Q20)</f>
        <v>0</v>
      </c>
      <c r="R17" s="9">
        <f t="shared" si="2"/>
        <v>0</v>
      </c>
      <c r="S17" s="9">
        <f t="shared" si="2"/>
        <v>0</v>
      </c>
      <c r="T17" s="9">
        <f t="shared" si="2"/>
        <v>0</v>
      </c>
      <c r="U17" s="9">
        <f t="shared" si="2"/>
        <v>-375000</v>
      </c>
      <c r="V17" s="9">
        <f t="shared" si="2"/>
        <v>0</v>
      </c>
      <c r="W17" s="9">
        <f t="shared" si="2"/>
        <v>0</v>
      </c>
      <c r="X17" s="9">
        <f t="shared" si="2"/>
        <v>0</v>
      </c>
      <c r="Y17" s="9">
        <f t="shared" si="2"/>
        <v>-350000</v>
      </c>
      <c r="Z17" s="9">
        <f t="shared" si="2"/>
        <v>-275000</v>
      </c>
      <c r="AA17" s="9">
        <f t="shared" si="2"/>
        <v>-400000</v>
      </c>
      <c r="AB17" s="9">
        <f t="shared" si="1"/>
        <v>-1400000</v>
      </c>
    </row>
    <row r="18" spans="2:28" outlineLevel="1" x14ac:dyDescent="0.3">
      <c r="B18" s="10" t="s">
        <v>30</v>
      </c>
      <c r="C18" s="11">
        <v>0</v>
      </c>
      <c r="D18" s="11">
        <v>-522308</v>
      </c>
      <c r="E18" s="11">
        <v>-417889</v>
      </c>
      <c r="F18" s="11">
        <v>28062</v>
      </c>
      <c r="G18" s="11"/>
      <c r="H18" s="11"/>
      <c r="I18" s="11">
        <v>-109386.28</v>
      </c>
      <c r="J18" s="11"/>
      <c r="K18" s="11">
        <v>-446368.74</v>
      </c>
      <c r="L18" s="11"/>
      <c r="M18" s="11"/>
      <c r="N18" s="11">
        <v>88886.28</v>
      </c>
      <c r="O18" s="11">
        <v>-1379003.74</v>
      </c>
      <c r="P18" s="11"/>
      <c r="Q18" s="11"/>
      <c r="R18" s="11"/>
      <c r="S18" s="11"/>
      <c r="T18" s="11"/>
      <c r="U18" s="11">
        <v>-375000</v>
      </c>
      <c r="V18" s="11"/>
      <c r="W18" s="11"/>
      <c r="X18" s="11"/>
      <c r="Y18" s="11"/>
      <c r="Z18" s="11">
        <v>-275000</v>
      </c>
      <c r="AA18" s="11">
        <v>-400000</v>
      </c>
      <c r="AB18" s="11">
        <f t="shared" si="1"/>
        <v>-1050000</v>
      </c>
    </row>
    <row r="19" spans="2:28" outlineLevel="1" collapsed="1" x14ac:dyDescent="0.3">
      <c r="B19" s="10" t="s">
        <v>31</v>
      </c>
      <c r="C19" s="11">
        <v>0</v>
      </c>
      <c r="D19" s="11">
        <v>0</v>
      </c>
      <c r="E19" s="11">
        <v>0</v>
      </c>
      <c r="F19" s="11"/>
      <c r="G19" s="11"/>
      <c r="H19" s="11"/>
      <c r="I19" s="11"/>
      <c r="J19" s="11"/>
      <c r="K19" s="11"/>
      <c r="L19" s="11"/>
      <c r="M19" s="11"/>
      <c r="N19" s="11"/>
      <c r="O19" s="11">
        <v>0</v>
      </c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>
        <f t="shared" si="1"/>
        <v>0</v>
      </c>
    </row>
    <row r="20" spans="2:28" outlineLevel="1" collapsed="1" x14ac:dyDescent="0.3">
      <c r="B20" s="10" t="s">
        <v>32</v>
      </c>
      <c r="C20" s="11">
        <v>0</v>
      </c>
      <c r="D20" s="11">
        <v>-327977</v>
      </c>
      <c r="E20" s="11">
        <v>0</v>
      </c>
      <c r="F20" s="11"/>
      <c r="G20" s="11"/>
      <c r="H20" s="11"/>
      <c r="I20" s="11"/>
      <c r="J20" s="11"/>
      <c r="K20" s="11"/>
      <c r="L20" s="11"/>
      <c r="M20" s="11"/>
      <c r="N20" s="11"/>
      <c r="O20" s="11">
        <v>-327977</v>
      </c>
      <c r="P20" s="11"/>
      <c r="Q20" s="11"/>
      <c r="R20" s="11"/>
      <c r="S20" s="11"/>
      <c r="T20" s="11"/>
      <c r="U20" s="11"/>
      <c r="V20" s="11"/>
      <c r="W20" s="11"/>
      <c r="X20" s="11"/>
      <c r="Y20" s="11">
        <v>-350000</v>
      </c>
      <c r="Z20" s="11"/>
      <c r="AA20" s="11"/>
      <c r="AB20" s="11">
        <f t="shared" si="1"/>
        <v>-350000</v>
      </c>
    </row>
    <row r="21" spans="2:28" x14ac:dyDescent="0.3">
      <c r="B21" s="8" t="s">
        <v>6</v>
      </c>
      <c r="C21" s="9">
        <v>-587858</v>
      </c>
      <c r="D21" s="9">
        <v>-71250</v>
      </c>
      <c r="E21" s="9">
        <v>-58095</v>
      </c>
      <c r="F21" s="9">
        <v>-45000</v>
      </c>
      <c r="G21" s="9">
        <v>-45000</v>
      </c>
      <c r="H21" s="9">
        <v>-605227</v>
      </c>
      <c r="I21" s="9">
        <v>-73345</v>
      </c>
      <c r="J21" s="9">
        <v>-46072</v>
      </c>
      <c r="K21" s="9">
        <v>-45000</v>
      </c>
      <c r="L21" s="9">
        <v>-49695</v>
      </c>
      <c r="M21" s="9">
        <v>-81828</v>
      </c>
      <c r="N21" s="9">
        <v>-75850</v>
      </c>
      <c r="O21" s="9">
        <v>-1784220</v>
      </c>
      <c r="P21" s="9">
        <f>SUM(P22:P29)</f>
        <v>-45000</v>
      </c>
      <c r="Q21" s="9">
        <f t="shared" ref="Q21:AA21" si="3">SUM(Q22:Q29)</f>
        <v>-45000</v>
      </c>
      <c r="R21" s="9">
        <f t="shared" si="3"/>
        <v>-717675</v>
      </c>
      <c r="S21" s="9">
        <f t="shared" si="3"/>
        <v>-45000</v>
      </c>
      <c r="T21" s="9">
        <f t="shared" si="3"/>
        <v>-60000</v>
      </c>
      <c r="U21" s="9">
        <f t="shared" si="3"/>
        <v>-74695</v>
      </c>
      <c r="V21" s="9">
        <f t="shared" si="3"/>
        <v>-45000</v>
      </c>
      <c r="W21" s="9">
        <f t="shared" si="3"/>
        <v>-45000</v>
      </c>
      <c r="X21" s="9">
        <f t="shared" si="3"/>
        <v>-74695</v>
      </c>
      <c r="Y21" s="9">
        <f t="shared" si="3"/>
        <v>-687980</v>
      </c>
      <c r="Z21" s="9">
        <f t="shared" si="3"/>
        <v>-45000</v>
      </c>
      <c r="AA21" s="9">
        <f t="shared" si="3"/>
        <v>-89695</v>
      </c>
      <c r="AB21" s="9">
        <f t="shared" si="1"/>
        <v>-1974740</v>
      </c>
    </row>
    <row r="22" spans="2:28" outlineLevel="1" x14ac:dyDescent="0.3">
      <c r="B22" s="10" t="s">
        <v>33</v>
      </c>
      <c r="C22" s="11">
        <v>-538163</v>
      </c>
      <c r="D22" s="11">
        <v>0</v>
      </c>
      <c r="E22" s="11">
        <v>0</v>
      </c>
      <c r="F22" s="11"/>
      <c r="G22" s="11"/>
      <c r="H22" s="11">
        <v>-560227</v>
      </c>
      <c r="I22" s="11"/>
      <c r="J22" s="11"/>
      <c r="K22" s="11"/>
      <c r="L22" s="11"/>
      <c r="M22" s="11"/>
      <c r="N22" s="11"/>
      <c r="O22" s="11">
        <v>-1098390</v>
      </c>
      <c r="P22" s="11"/>
      <c r="Q22" s="11"/>
      <c r="R22" s="11">
        <v>-642980</v>
      </c>
      <c r="S22" s="11"/>
      <c r="T22" s="11"/>
      <c r="U22" s="11"/>
      <c r="V22" s="11"/>
      <c r="W22" s="11"/>
      <c r="X22" s="11"/>
      <c r="Y22" s="11">
        <v>-642980</v>
      </c>
      <c r="Z22" s="11"/>
      <c r="AA22" s="11"/>
      <c r="AB22" s="11">
        <f t="shared" si="1"/>
        <v>-1285960</v>
      </c>
    </row>
    <row r="23" spans="2:28" outlineLevel="1" collapsed="1" x14ac:dyDescent="0.3">
      <c r="B23" s="10" t="s">
        <v>34</v>
      </c>
      <c r="C23" s="11">
        <v>0</v>
      </c>
      <c r="D23" s="11">
        <v>-26250</v>
      </c>
      <c r="E23" s="11">
        <v>-8400</v>
      </c>
      <c r="F23" s="11"/>
      <c r="G23" s="11"/>
      <c r="H23" s="11"/>
      <c r="I23" s="11">
        <v>-23650</v>
      </c>
      <c r="J23" s="11"/>
      <c r="K23" s="11"/>
      <c r="L23" s="11"/>
      <c r="M23" s="11"/>
      <c r="N23" s="11">
        <v>-27850</v>
      </c>
      <c r="O23" s="11">
        <v>-86150</v>
      </c>
      <c r="P23" s="11"/>
      <c r="Q23" s="11"/>
      <c r="R23" s="11">
        <v>-25000</v>
      </c>
      <c r="S23" s="11"/>
      <c r="T23" s="11"/>
      <c r="U23" s="11">
        <v>-25000</v>
      </c>
      <c r="V23" s="11"/>
      <c r="W23" s="11"/>
      <c r="X23" s="11">
        <v>-25000</v>
      </c>
      <c r="Y23" s="11"/>
      <c r="Z23" s="11"/>
      <c r="AA23" s="11">
        <v>-25000</v>
      </c>
      <c r="AB23" s="11">
        <f t="shared" si="1"/>
        <v>-100000</v>
      </c>
    </row>
    <row r="24" spans="2:28" outlineLevel="1" collapsed="1" x14ac:dyDescent="0.3">
      <c r="B24" s="10" t="s">
        <v>35</v>
      </c>
      <c r="C24" s="11">
        <v>-10000</v>
      </c>
      <c r="D24" s="11">
        <v>-10000</v>
      </c>
      <c r="E24" s="11">
        <v>-10000</v>
      </c>
      <c r="F24" s="11">
        <v>-10000</v>
      </c>
      <c r="G24" s="11">
        <v>-10000</v>
      </c>
      <c r="H24" s="11">
        <v>-10000</v>
      </c>
      <c r="I24" s="11">
        <v>-10000</v>
      </c>
      <c r="J24" s="11">
        <v>-10000</v>
      </c>
      <c r="K24" s="11">
        <v>-10000</v>
      </c>
      <c r="L24" s="11">
        <v>-10000</v>
      </c>
      <c r="M24" s="11">
        <v>-46828</v>
      </c>
      <c r="N24" s="11">
        <v>-10000</v>
      </c>
      <c r="O24" s="11">
        <v>-156828</v>
      </c>
      <c r="P24" s="11">
        <v>-10000</v>
      </c>
      <c r="Q24" s="11">
        <v>-10000</v>
      </c>
      <c r="R24" s="11">
        <v>-10000</v>
      </c>
      <c r="S24" s="11">
        <v>-10000</v>
      </c>
      <c r="T24" s="11">
        <v>-10000</v>
      </c>
      <c r="U24" s="11">
        <v>-10000</v>
      </c>
      <c r="V24" s="11">
        <v>-10000</v>
      </c>
      <c r="W24" s="11">
        <v>-10000</v>
      </c>
      <c r="X24" s="11">
        <v>-10000</v>
      </c>
      <c r="Y24" s="11">
        <v>-10000</v>
      </c>
      <c r="Z24" s="11">
        <v>-10000</v>
      </c>
      <c r="AA24" s="11">
        <v>-10000</v>
      </c>
      <c r="AB24" s="11">
        <f t="shared" si="1"/>
        <v>-120000</v>
      </c>
    </row>
    <row r="25" spans="2:28" outlineLevel="1" collapsed="1" x14ac:dyDescent="0.3">
      <c r="B25" s="10" t="s">
        <v>36</v>
      </c>
      <c r="C25" s="11">
        <v>-35000</v>
      </c>
      <c r="D25" s="11">
        <v>-35000</v>
      </c>
      <c r="E25" s="11">
        <v>-35000</v>
      </c>
      <c r="F25" s="11">
        <v>-35000</v>
      </c>
      <c r="G25" s="11">
        <v>-35000</v>
      </c>
      <c r="H25" s="11">
        <v>-35000</v>
      </c>
      <c r="I25" s="11">
        <v>-39695</v>
      </c>
      <c r="J25" s="11">
        <v>-35000</v>
      </c>
      <c r="K25" s="11">
        <v>-35000</v>
      </c>
      <c r="L25" s="11">
        <v>-35000</v>
      </c>
      <c r="M25" s="11">
        <v>-35000</v>
      </c>
      <c r="N25" s="11">
        <v>-35000</v>
      </c>
      <c r="O25" s="11">
        <v>-424695</v>
      </c>
      <c r="P25" s="11">
        <v>-35000</v>
      </c>
      <c r="Q25" s="11">
        <v>-35000</v>
      </c>
      <c r="R25" s="11">
        <v>-35000</v>
      </c>
      <c r="S25" s="11">
        <v>-35000</v>
      </c>
      <c r="T25" s="11">
        <v>-35000</v>
      </c>
      <c r="U25" s="11">
        <v>-35000</v>
      </c>
      <c r="V25" s="11">
        <v>-35000</v>
      </c>
      <c r="W25" s="11">
        <v>-35000</v>
      </c>
      <c r="X25" s="11">
        <v>-35000</v>
      </c>
      <c r="Y25" s="11">
        <v>-35000</v>
      </c>
      <c r="Z25" s="11">
        <v>-35000</v>
      </c>
      <c r="AA25" s="11">
        <v>-35000</v>
      </c>
      <c r="AB25" s="11">
        <f t="shared" si="1"/>
        <v>-420000</v>
      </c>
    </row>
    <row r="26" spans="2:28" outlineLevel="1" collapsed="1" x14ac:dyDescent="0.3">
      <c r="B26" s="10" t="s">
        <v>37</v>
      </c>
      <c r="C26" s="11">
        <v>-4695</v>
      </c>
      <c r="D26" s="11">
        <v>0</v>
      </c>
      <c r="E26" s="11">
        <v>-4695</v>
      </c>
      <c r="F26" s="11"/>
      <c r="G26" s="11"/>
      <c r="H26" s="11"/>
      <c r="I26" s="11"/>
      <c r="J26" s="11"/>
      <c r="K26" s="11"/>
      <c r="L26" s="11">
        <v>-4695</v>
      </c>
      <c r="M26" s="11"/>
      <c r="N26" s="11"/>
      <c r="O26" s="11">
        <v>-14085</v>
      </c>
      <c r="P26" s="11"/>
      <c r="Q26" s="11"/>
      <c r="R26" s="11">
        <v>-4695</v>
      </c>
      <c r="S26" s="11"/>
      <c r="T26" s="11"/>
      <c r="U26" s="11">
        <v>-4695</v>
      </c>
      <c r="V26" s="11"/>
      <c r="W26" s="11"/>
      <c r="X26" s="11">
        <v>-4695</v>
      </c>
      <c r="Y26" s="11"/>
      <c r="Z26" s="11"/>
      <c r="AA26" s="11">
        <v>-4695</v>
      </c>
      <c r="AB26" s="11">
        <f t="shared" si="1"/>
        <v>-18780</v>
      </c>
    </row>
    <row r="27" spans="2:28" outlineLevel="1" collapsed="1" x14ac:dyDescent="0.3">
      <c r="B27" s="10" t="s">
        <v>38</v>
      </c>
      <c r="C27" s="11">
        <v>0</v>
      </c>
      <c r="D27" s="11">
        <v>0</v>
      </c>
      <c r="E27" s="11">
        <v>0</v>
      </c>
      <c r="F27" s="11"/>
      <c r="G27" s="11"/>
      <c r="H27" s="11"/>
      <c r="I27" s="11"/>
      <c r="J27" s="11"/>
      <c r="K27" s="11"/>
      <c r="L27" s="11"/>
      <c r="M27" s="11"/>
      <c r="N27" s="11"/>
      <c r="O27" s="11">
        <v>0</v>
      </c>
      <c r="P27" s="11"/>
      <c r="Q27" s="11"/>
      <c r="R27" s="11"/>
      <c r="S27" s="11"/>
      <c r="T27" s="11">
        <v>-15000</v>
      </c>
      <c r="U27" s="11"/>
      <c r="V27" s="11"/>
      <c r="W27" s="11"/>
      <c r="X27" s="11"/>
      <c r="Y27" s="11"/>
      <c r="Z27" s="11"/>
      <c r="AA27" s="11">
        <v>-15000</v>
      </c>
      <c r="AB27" s="11">
        <f t="shared" si="1"/>
        <v>-30000</v>
      </c>
    </row>
    <row r="28" spans="2:28" outlineLevel="1" collapsed="1" x14ac:dyDescent="0.3">
      <c r="B28" s="10" t="s">
        <v>39</v>
      </c>
      <c r="C28" s="11">
        <v>0</v>
      </c>
      <c r="D28" s="11">
        <v>0</v>
      </c>
      <c r="E28" s="11">
        <v>0</v>
      </c>
      <c r="F28" s="11"/>
      <c r="G28" s="11"/>
      <c r="H28" s="11"/>
      <c r="I28" s="11"/>
      <c r="J28" s="11"/>
      <c r="K28" s="11"/>
      <c r="L28" s="11"/>
      <c r="M28" s="11"/>
      <c r="N28" s="11">
        <v>-3000</v>
      </c>
      <c r="O28" s="11">
        <v>-3000</v>
      </c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>
        <f t="shared" si="1"/>
        <v>0</v>
      </c>
    </row>
    <row r="29" spans="2:28" outlineLevel="1" collapsed="1" x14ac:dyDescent="0.3">
      <c r="B29" s="10" t="s">
        <v>40</v>
      </c>
      <c r="C29" s="11">
        <v>0</v>
      </c>
      <c r="D29" s="11">
        <v>0</v>
      </c>
      <c r="E29" s="11">
        <v>0</v>
      </c>
      <c r="F29" s="11"/>
      <c r="G29" s="11"/>
      <c r="H29" s="11"/>
      <c r="I29" s="11"/>
      <c r="J29" s="11">
        <v>-1072</v>
      </c>
      <c r="K29" s="11"/>
      <c r="L29" s="11"/>
      <c r="M29" s="11"/>
      <c r="N29" s="11"/>
      <c r="O29" s="11">
        <v>-1072</v>
      </c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>
        <f t="shared" si="1"/>
        <v>0</v>
      </c>
    </row>
    <row r="30" spans="2:28" x14ac:dyDescent="0.3">
      <c r="B30" s="8" t="s">
        <v>7</v>
      </c>
      <c r="C30" s="9">
        <v>-6730.38</v>
      </c>
      <c r="D30" s="9">
        <v>-5617.86</v>
      </c>
      <c r="E30" s="9">
        <v>13176</v>
      </c>
      <c r="F30" s="9">
        <v>0</v>
      </c>
      <c r="G30" s="9">
        <v>-36232</v>
      </c>
      <c r="H30" s="9">
        <v>-72884</v>
      </c>
      <c r="I30" s="9">
        <v>-150</v>
      </c>
      <c r="J30" s="9">
        <v>0</v>
      </c>
      <c r="K30" s="9">
        <v>-73478</v>
      </c>
      <c r="L30" s="9">
        <v>-1835</v>
      </c>
      <c r="M30" s="9">
        <v>-205605</v>
      </c>
      <c r="N30" s="9">
        <v>-90884</v>
      </c>
      <c r="O30" s="9">
        <v>-480240.24</v>
      </c>
      <c r="P30" s="9">
        <f>SUM(P31:P35)</f>
        <v>-500</v>
      </c>
      <c r="Q30" s="9">
        <f t="shared" ref="Q30:AA30" si="4">SUM(Q31:Q35)</f>
        <v>-500</v>
      </c>
      <c r="R30" s="9">
        <f t="shared" si="4"/>
        <v>-137394</v>
      </c>
      <c r="S30" s="9">
        <f t="shared" si="4"/>
        <v>-500</v>
      </c>
      <c r="T30" s="9">
        <f t="shared" si="4"/>
        <v>-500</v>
      </c>
      <c r="U30" s="9">
        <f t="shared" si="4"/>
        <v>-137394</v>
      </c>
      <c r="V30" s="9">
        <f t="shared" si="4"/>
        <v>0</v>
      </c>
      <c r="W30" s="9">
        <f t="shared" si="4"/>
        <v>0</v>
      </c>
      <c r="X30" s="9">
        <f t="shared" si="4"/>
        <v>-137394</v>
      </c>
      <c r="Y30" s="9">
        <f t="shared" si="4"/>
        <v>-500</v>
      </c>
      <c r="Z30" s="9">
        <f t="shared" si="4"/>
        <v>-500</v>
      </c>
      <c r="AA30" s="9">
        <f t="shared" si="4"/>
        <v>-137394</v>
      </c>
      <c r="AB30" s="9">
        <f t="shared" si="1"/>
        <v>-552576</v>
      </c>
    </row>
    <row r="31" spans="2:28" outlineLevel="1" x14ac:dyDescent="0.3">
      <c r="B31" s="10" t="s">
        <v>156</v>
      </c>
      <c r="C31" s="11">
        <v>0</v>
      </c>
      <c r="D31" s="11">
        <v>0</v>
      </c>
      <c r="E31" s="11">
        <v>-70127</v>
      </c>
      <c r="F31" s="11"/>
      <c r="G31" s="11"/>
      <c r="H31" s="11">
        <v>-72884</v>
      </c>
      <c r="I31" s="11"/>
      <c r="J31" s="11"/>
      <c r="K31" s="11">
        <v>-72884</v>
      </c>
      <c r="L31" s="11"/>
      <c r="M31" s="11"/>
      <c r="N31" s="11">
        <v>-72884</v>
      </c>
      <c r="O31" s="11">
        <v>-288779</v>
      </c>
      <c r="P31" s="11"/>
      <c r="Q31" s="11"/>
      <c r="R31" s="11">
        <v>-136894</v>
      </c>
      <c r="S31" s="11"/>
      <c r="T31" s="11"/>
      <c r="U31" s="11">
        <v>-136894</v>
      </c>
      <c r="V31" s="11"/>
      <c r="W31" s="11"/>
      <c r="X31" s="11">
        <v>-136894</v>
      </c>
      <c r="Y31" s="11"/>
      <c r="Z31" s="11"/>
      <c r="AA31" s="11">
        <v>-136894</v>
      </c>
      <c r="AB31" s="11">
        <f t="shared" si="1"/>
        <v>-547576</v>
      </c>
    </row>
    <row r="32" spans="2:28" outlineLevel="1" x14ac:dyDescent="0.3">
      <c r="B32" s="10" t="str">
        <f>"3950"&amp;" - "&amp;"Fordeling mellom gruppene"</f>
        <v>3950 - Fordeling mellom gruppene</v>
      </c>
      <c r="C32" s="11"/>
      <c r="D32" s="11"/>
      <c r="E32" s="11">
        <v>77930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>
        <f t="shared" si="1"/>
        <v>0</v>
      </c>
    </row>
    <row r="33" spans="2:28" outlineLevel="1" collapsed="1" x14ac:dyDescent="0.3">
      <c r="B33" s="10" t="s">
        <v>41</v>
      </c>
      <c r="C33" s="11">
        <v>-354</v>
      </c>
      <c r="D33" s="11">
        <v>0</v>
      </c>
      <c r="E33" s="11">
        <v>0</v>
      </c>
      <c r="F33" s="11"/>
      <c r="G33" s="11"/>
      <c r="H33" s="11"/>
      <c r="I33" s="11"/>
      <c r="J33" s="11"/>
      <c r="K33" s="11"/>
      <c r="L33" s="11"/>
      <c r="M33" s="11"/>
      <c r="N33" s="11"/>
      <c r="O33" s="11">
        <v>-354</v>
      </c>
      <c r="P33" s="11">
        <v>-500</v>
      </c>
      <c r="Q33" s="11">
        <v>-500</v>
      </c>
      <c r="R33" s="11">
        <v>-500</v>
      </c>
      <c r="S33" s="11">
        <v>-500</v>
      </c>
      <c r="T33" s="11">
        <v>-500</v>
      </c>
      <c r="U33" s="11">
        <v>-500</v>
      </c>
      <c r="V33" s="11"/>
      <c r="W33" s="11"/>
      <c r="X33" s="11">
        <v>-500</v>
      </c>
      <c r="Y33" s="11">
        <v>-500</v>
      </c>
      <c r="Z33" s="11">
        <v>-500</v>
      </c>
      <c r="AA33" s="11">
        <v>-500</v>
      </c>
      <c r="AB33" s="11">
        <f t="shared" si="1"/>
        <v>-5000</v>
      </c>
    </row>
    <row r="34" spans="2:28" outlineLevel="1" x14ac:dyDescent="0.3">
      <c r="B34" s="10" t="str">
        <f>"3990"&amp;" - "&amp;"Inntekt lagskasse"</f>
        <v>3990 - Inntekt lagskasse</v>
      </c>
      <c r="C34" s="11"/>
      <c r="D34" s="11"/>
      <c r="E34" s="11">
        <v>6473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>
        <f t="shared" si="1"/>
        <v>0</v>
      </c>
    </row>
    <row r="35" spans="2:28" outlineLevel="1" collapsed="1" x14ac:dyDescent="0.3">
      <c r="B35" s="10" t="s">
        <v>42</v>
      </c>
      <c r="C35" s="11">
        <v>-6376.38</v>
      </c>
      <c r="D35" s="11">
        <v>-5617.86</v>
      </c>
      <c r="E35" s="11">
        <v>-1100</v>
      </c>
      <c r="F35" s="11"/>
      <c r="G35" s="11">
        <v>-36232</v>
      </c>
      <c r="H35" s="11"/>
      <c r="I35" s="11">
        <v>-150</v>
      </c>
      <c r="J35" s="11"/>
      <c r="K35" s="11">
        <v>-594</v>
      </c>
      <c r="L35" s="11">
        <v>-1835</v>
      </c>
      <c r="M35" s="11">
        <v>-205605</v>
      </c>
      <c r="N35" s="11">
        <v>-18000</v>
      </c>
      <c r="O35" s="11">
        <v>-275510.24</v>
      </c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>
        <f t="shared" si="1"/>
        <v>0</v>
      </c>
    </row>
    <row r="36" spans="2:28" x14ac:dyDescent="0.3">
      <c r="B36" s="15" t="s">
        <v>8</v>
      </c>
      <c r="C36" s="16">
        <v>-637672.71</v>
      </c>
      <c r="D36" s="16">
        <v>-935672.57</v>
      </c>
      <c r="E36" s="16">
        <v>-705826.61</v>
      </c>
      <c r="F36" s="16">
        <v>-98125</v>
      </c>
      <c r="G36" s="16">
        <v>-311571.49</v>
      </c>
      <c r="H36" s="16">
        <v>-776788.87</v>
      </c>
      <c r="I36" s="16">
        <v>-933995.28</v>
      </c>
      <c r="J36" s="16">
        <v>-212227.28</v>
      </c>
      <c r="K36" s="16">
        <v>-138348.94</v>
      </c>
      <c r="L36" s="16">
        <v>-57571.74</v>
      </c>
      <c r="M36" s="16">
        <v>-422696.35</v>
      </c>
      <c r="N36" s="16">
        <v>-432491.33999999997</v>
      </c>
      <c r="O36" s="16">
        <v>-5662988.1800000006</v>
      </c>
      <c r="P36" s="16">
        <f>P8+P17+P21+P30</f>
        <v>-135500</v>
      </c>
      <c r="Q36" s="16">
        <f t="shared" ref="Q36:AA36" si="5">Q8+Q17+Q21+Q30</f>
        <v>-285500</v>
      </c>
      <c r="R36" s="16">
        <f t="shared" si="5"/>
        <v>-985069</v>
      </c>
      <c r="S36" s="16">
        <f t="shared" si="5"/>
        <v>-782166.66666666663</v>
      </c>
      <c r="T36" s="16">
        <f t="shared" si="5"/>
        <v>-125500</v>
      </c>
      <c r="U36" s="16">
        <f t="shared" si="5"/>
        <v>-142089</v>
      </c>
      <c r="V36" s="16">
        <f t="shared" si="5"/>
        <v>-45000</v>
      </c>
      <c r="W36" s="16">
        <f t="shared" si="5"/>
        <v>-372667</v>
      </c>
      <c r="X36" s="16">
        <f t="shared" si="5"/>
        <v>-422089</v>
      </c>
      <c r="Y36" s="16">
        <f t="shared" si="5"/>
        <v>-922480</v>
      </c>
      <c r="Z36" s="16">
        <f t="shared" si="5"/>
        <v>-400500</v>
      </c>
      <c r="AA36" s="16">
        <f t="shared" si="5"/>
        <v>-1068755</v>
      </c>
      <c r="AB36" s="16">
        <f>AB8+AB17+AB21+AB30</f>
        <v>-5687315.666666666</v>
      </c>
    </row>
    <row r="37" spans="2:28" x14ac:dyDescent="0.3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2:28" x14ac:dyDescent="0.3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</row>
    <row r="39" spans="2:28" ht="21" x14ac:dyDescent="0.4">
      <c r="B39" s="6" t="s">
        <v>9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>
        <v>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>
        <f t="shared" si="1"/>
        <v>0</v>
      </c>
    </row>
    <row r="40" spans="2:28" collapsed="1" x14ac:dyDescent="0.3">
      <c r="B40" s="8" t="s">
        <v>10</v>
      </c>
      <c r="C40" s="9">
        <v>114510</v>
      </c>
      <c r="D40" s="9">
        <v>-65981.36</v>
      </c>
      <c r="E40" s="9">
        <v>487879.76</v>
      </c>
      <c r="F40" s="9">
        <v>14732.45</v>
      </c>
      <c r="G40" s="9">
        <v>27149</v>
      </c>
      <c r="H40" s="9">
        <v>8218.0999999999985</v>
      </c>
      <c r="I40" s="9">
        <v>-28266.55</v>
      </c>
      <c r="J40" s="9">
        <v>56134.37</v>
      </c>
      <c r="K40" s="9">
        <v>122936.53</v>
      </c>
      <c r="L40" s="9">
        <v>24666.059999999998</v>
      </c>
      <c r="M40" s="9">
        <v>68879.509999999995</v>
      </c>
      <c r="N40" s="9">
        <v>-7907.7299999999959</v>
      </c>
      <c r="O40" s="9">
        <v>822950.1399999999</v>
      </c>
      <c r="P40" s="9">
        <f>SUM(P41:P55)</f>
        <v>10000</v>
      </c>
      <c r="Q40" s="9">
        <f t="shared" ref="Q40:AA40" si="6">SUM(Q41:Q55)</f>
        <v>20000</v>
      </c>
      <c r="R40" s="9">
        <f t="shared" si="6"/>
        <v>20000</v>
      </c>
      <c r="S40" s="9">
        <f t="shared" si="6"/>
        <v>35000</v>
      </c>
      <c r="T40" s="9">
        <f t="shared" si="6"/>
        <v>25000</v>
      </c>
      <c r="U40" s="9">
        <f t="shared" si="6"/>
        <v>118000</v>
      </c>
      <c r="V40" s="9">
        <f t="shared" si="6"/>
        <v>0</v>
      </c>
      <c r="W40" s="9">
        <f t="shared" si="6"/>
        <v>20000</v>
      </c>
      <c r="X40" s="9">
        <f t="shared" si="6"/>
        <v>140000</v>
      </c>
      <c r="Y40" s="9">
        <f t="shared" si="6"/>
        <v>30000</v>
      </c>
      <c r="Z40" s="9">
        <f t="shared" si="6"/>
        <v>25000</v>
      </c>
      <c r="AA40" s="9">
        <f t="shared" si="6"/>
        <v>532000</v>
      </c>
      <c r="AB40" s="9">
        <f t="shared" si="1"/>
        <v>975000</v>
      </c>
    </row>
    <row r="41" spans="2:28" outlineLevel="1" x14ac:dyDescent="0.3">
      <c r="B41" s="10" t="s">
        <v>43</v>
      </c>
      <c r="C41" s="11">
        <v>0</v>
      </c>
      <c r="D41" s="11">
        <v>0</v>
      </c>
      <c r="E41" s="11">
        <v>217783</v>
      </c>
      <c r="F41" s="11"/>
      <c r="G41" s="11">
        <v>-935.9</v>
      </c>
      <c r="H41" s="11"/>
      <c r="I41" s="11"/>
      <c r="J41" s="11"/>
      <c r="K41" s="11"/>
      <c r="L41" s="11"/>
      <c r="M41" s="11"/>
      <c r="N41" s="11"/>
      <c r="O41" s="11">
        <v>216847.1</v>
      </c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>
        <v>180000</v>
      </c>
      <c r="AB41" s="11">
        <f t="shared" si="1"/>
        <v>180000</v>
      </c>
    </row>
    <row r="42" spans="2:28" outlineLevel="1" collapsed="1" x14ac:dyDescent="0.3">
      <c r="B42" s="10" t="s">
        <v>44</v>
      </c>
      <c r="C42" s="11">
        <v>0</v>
      </c>
      <c r="D42" s="11">
        <v>140.63</v>
      </c>
      <c r="E42" s="11">
        <v>-140.63</v>
      </c>
      <c r="F42" s="11"/>
      <c r="G42" s="11"/>
      <c r="H42" s="11">
        <v>0</v>
      </c>
      <c r="I42" s="11">
        <v>402.34</v>
      </c>
      <c r="J42" s="11"/>
      <c r="K42" s="11">
        <v>-402.34</v>
      </c>
      <c r="L42" s="11">
        <v>4266.79</v>
      </c>
      <c r="M42" s="11">
        <v>921.51</v>
      </c>
      <c r="N42" s="11">
        <v>-5188.3</v>
      </c>
      <c r="O42" s="11">
        <v>0</v>
      </c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>
        <f t="shared" si="1"/>
        <v>0</v>
      </c>
    </row>
    <row r="43" spans="2:28" outlineLevel="1" collapsed="1" x14ac:dyDescent="0.3">
      <c r="B43" s="10" t="s">
        <v>45</v>
      </c>
      <c r="C43" s="11">
        <v>1782.25</v>
      </c>
      <c r="D43" s="11">
        <v>0</v>
      </c>
      <c r="E43" s="11">
        <v>-1782.25</v>
      </c>
      <c r="F43" s="11"/>
      <c r="G43" s="11">
        <v>258.2</v>
      </c>
      <c r="H43" s="11">
        <v>-258.2</v>
      </c>
      <c r="I43" s="11"/>
      <c r="J43" s="11"/>
      <c r="K43" s="11">
        <v>0</v>
      </c>
      <c r="L43" s="11"/>
      <c r="M43" s="11"/>
      <c r="N43" s="11">
        <v>0</v>
      </c>
      <c r="O43" s="11">
        <v>0</v>
      </c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>
        <f t="shared" si="1"/>
        <v>0</v>
      </c>
    </row>
    <row r="44" spans="2:28" outlineLevel="1" collapsed="1" x14ac:dyDescent="0.3">
      <c r="B44" s="10" t="s">
        <v>46</v>
      </c>
      <c r="C44" s="11">
        <v>0</v>
      </c>
      <c r="D44" s="11">
        <v>292.47000000000003</v>
      </c>
      <c r="E44" s="11">
        <v>-292.47000000000003</v>
      </c>
      <c r="F44" s="11"/>
      <c r="G44" s="11"/>
      <c r="H44" s="11"/>
      <c r="I44" s="11"/>
      <c r="J44" s="11">
        <v>466</v>
      </c>
      <c r="K44" s="11">
        <v>-466</v>
      </c>
      <c r="L44" s="11"/>
      <c r="M44" s="11"/>
      <c r="N44" s="11"/>
      <c r="O44" s="11">
        <v>0</v>
      </c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>
        <f t="shared" si="1"/>
        <v>0</v>
      </c>
    </row>
    <row r="45" spans="2:28" outlineLevel="1" collapsed="1" x14ac:dyDescent="0.3">
      <c r="B45" s="10" t="s">
        <v>47</v>
      </c>
      <c r="C45" s="11">
        <v>0</v>
      </c>
      <c r="D45" s="11">
        <v>1174.29</v>
      </c>
      <c r="E45" s="11">
        <v>-1174.29</v>
      </c>
      <c r="F45" s="11">
        <v>9823</v>
      </c>
      <c r="G45" s="11">
        <v>2501.4</v>
      </c>
      <c r="H45" s="11">
        <v>-12324.4</v>
      </c>
      <c r="I45" s="11">
        <v>1854.36</v>
      </c>
      <c r="J45" s="11">
        <v>191.3</v>
      </c>
      <c r="K45" s="11">
        <v>-2045.66</v>
      </c>
      <c r="L45" s="11">
        <v>7020.19</v>
      </c>
      <c r="M45" s="11">
        <v>3738.2</v>
      </c>
      <c r="N45" s="11">
        <v>-10758.39</v>
      </c>
      <c r="O45" s="11">
        <v>0</v>
      </c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>
        <f t="shared" si="1"/>
        <v>0</v>
      </c>
    </row>
    <row r="46" spans="2:28" outlineLevel="1" collapsed="1" x14ac:dyDescent="0.3">
      <c r="B46" s="10" t="s">
        <v>48</v>
      </c>
      <c r="C46" s="11">
        <v>0</v>
      </c>
      <c r="D46" s="11">
        <v>0</v>
      </c>
      <c r="E46" s="11">
        <v>0</v>
      </c>
      <c r="F46" s="11"/>
      <c r="G46" s="11"/>
      <c r="H46" s="11"/>
      <c r="I46" s="11">
        <v>1334.55</v>
      </c>
      <c r="J46" s="11"/>
      <c r="K46" s="11">
        <v>-1334.55</v>
      </c>
      <c r="L46" s="11">
        <v>439.08</v>
      </c>
      <c r="M46" s="11">
        <v>4686.63</v>
      </c>
      <c r="N46" s="11">
        <v>-5125.71</v>
      </c>
      <c r="O46" s="11">
        <v>0</v>
      </c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>
        <f t="shared" si="1"/>
        <v>0</v>
      </c>
    </row>
    <row r="47" spans="2:28" outlineLevel="1" collapsed="1" x14ac:dyDescent="0.3">
      <c r="B47" s="10" t="s">
        <v>49</v>
      </c>
      <c r="C47" s="11">
        <v>318</v>
      </c>
      <c r="D47" s="11">
        <v>0</v>
      </c>
      <c r="E47" s="11">
        <v>-318</v>
      </c>
      <c r="F47" s="11">
        <v>3173</v>
      </c>
      <c r="G47" s="11">
        <v>3715.3</v>
      </c>
      <c r="H47" s="11">
        <v>-6888.3</v>
      </c>
      <c r="I47" s="11"/>
      <c r="J47" s="11"/>
      <c r="K47" s="11">
        <v>0</v>
      </c>
      <c r="L47" s="11"/>
      <c r="M47" s="11">
        <v>1338.58</v>
      </c>
      <c r="N47" s="11">
        <v>-1338.58</v>
      </c>
      <c r="O47" s="11">
        <v>0</v>
      </c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>
        <f t="shared" si="1"/>
        <v>0</v>
      </c>
    </row>
    <row r="48" spans="2:28" outlineLevel="1" collapsed="1" x14ac:dyDescent="0.3">
      <c r="B48" s="10" t="s">
        <v>50</v>
      </c>
      <c r="C48" s="11">
        <v>549</v>
      </c>
      <c r="D48" s="11">
        <v>0</v>
      </c>
      <c r="E48" s="11">
        <v>-549</v>
      </c>
      <c r="F48" s="11"/>
      <c r="G48" s="11"/>
      <c r="H48" s="11"/>
      <c r="I48" s="11"/>
      <c r="J48" s="11"/>
      <c r="K48" s="11">
        <v>0</v>
      </c>
      <c r="L48" s="11">
        <v>285.10000000000002</v>
      </c>
      <c r="M48" s="11"/>
      <c r="N48" s="11">
        <v>-285.10000000000002</v>
      </c>
      <c r="O48" s="11">
        <v>0</v>
      </c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>
        <f t="shared" si="1"/>
        <v>0</v>
      </c>
    </row>
    <row r="49" spans="2:29" outlineLevel="1" collapsed="1" x14ac:dyDescent="0.3">
      <c r="B49" s="10" t="s">
        <v>51</v>
      </c>
      <c r="C49" s="11">
        <v>-8389.25</v>
      </c>
      <c r="D49" s="11">
        <v>13841.25</v>
      </c>
      <c r="E49" s="11">
        <v>7014.6</v>
      </c>
      <c r="F49" s="11">
        <v>1736.45</v>
      </c>
      <c r="G49" s="11"/>
      <c r="H49" s="11">
        <v>89</v>
      </c>
      <c r="I49" s="11">
        <v>-1420.7</v>
      </c>
      <c r="J49" s="11">
        <v>32526.97</v>
      </c>
      <c r="K49" s="11">
        <v>74415.360000000001</v>
      </c>
      <c r="L49" s="11">
        <v>6654.8</v>
      </c>
      <c r="M49" s="11">
        <v>30046.79</v>
      </c>
      <c r="N49" s="11">
        <v>8587.5499999999993</v>
      </c>
      <c r="O49" s="11">
        <v>165102.81999999998</v>
      </c>
      <c r="P49" s="11">
        <v>5000</v>
      </c>
      <c r="Q49" s="11">
        <v>5000</v>
      </c>
      <c r="R49" s="11">
        <v>5000</v>
      </c>
      <c r="S49" s="11">
        <v>20000</v>
      </c>
      <c r="T49" s="11">
        <v>15000</v>
      </c>
      <c r="U49" s="11">
        <v>15000</v>
      </c>
      <c r="V49" s="11">
        <v>0</v>
      </c>
      <c r="W49" s="11">
        <v>20000</v>
      </c>
      <c r="X49" s="11">
        <v>100000</v>
      </c>
      <c r="Y49" s="11">
        <v>10000</v>
      </c>
      <c r="Z49" s="11">
        <v>10000</v>
      </c>
      <c r="AA49" s="11">
        <v>15000</v>
      </c>
      <c r="AB49" s="11">
        <f t="shared" si="1"/>
        <v>220000</v>
      </c>
    </row>
    <row r="50" spans="2:29" outlineLevel="1" collapsed="1" x14ac:dyDescent="0.3">
      <c r="B50" s="10" t="s">
        <v>52</v>
      </c>
      <c r="C50" s="11">
        <v>120250</v>
      </c>
      <c r="D50" s="11">
        <v>0</v>
      </c>
      <c r="E50" s="11">
        <v>-14945.2</v>
      </c>
      <c r="F50" s="11"/>
      <c r="G50" s="11">
        <v>21610</v>
      </c>
      <c r="H50" s="11"/>
      <c r="I50" s="11">
        <v>1362.9</v>
      </c>
      <c r="J50" s="11">
        <v>22950.1</v>
      </c>
      <c r="K50" s="11">
        <v>1231.8</v>
      </c>
      <c r="L50" s="11">
        <v>6000.1</v>
      </c>
      <c r="M50" s="11">
        <v>28147.8</v>
      </c>
      <c r="N50" s="11">
        <v>8200.7999999999993</v>
      </c>
      <c r="O50" s="11">
        <v>194808.29999999996</v>
      </c>
      <c r="P50" s="11">
        <v>5000</v>
      </c>
      <c r="Q50" s="11">
        <v>15000</v>
      </c>
      <c r="R50" s="11">
        <v>15000</v>
      </c>
      <c r="S50" s="11">
        <v>15000</v>
      </c>
      <c r="T50" s="11">
        <v>10000</v>
      </c>
      <c r="U50" s="11">
        <v>5000</v>
      </c>
      <c r="V50" s="11"/>
      <c r="W50" s="11"/>
      <c r="X50" s="11">
        <v>40000</v>
      </c>
      <c r="Y50" s="11">
        <v>20000</v>
      </c>
      <c r="Z50" s="11">
        <v>15000</v>
      </c>
      <c r="AA50" s="11">
        <v>15000</v>
      </c>
      <c r="AB50" s="11">
        <f t="shared" si="1"/>
        <v>155000</v>
      </c>
    </row>
    <row r="51" spans="2:29" outlineLevel="1" collapsed="1" x14ac:dyDescent="0.3">
      <c r="B51" s="10" t="s">
        <v>53</v>
      </c>
      <c r="C51" s="11">
        <v>0</v>
      </c>
      <c r="D51" s="11">
        <v>-81430</v>
      </c>
      <c r="E51" s="11">
        <v>0</v>
      </c>
      <c r="F51" s="11"/>
      <c r="G51" s="11"/>
      <c r="H51" s="11">
        <v>27600</v>
      </c>
      <c r="I51" s="11">
        <v>-31800</v>
      </c>
      <c r="J51" s="11"/>
      <c r="K51" s="11"/>
      <c r="L51" s="11"/>
      <c r="M51" s="11"/>
      <c r="N51" s="11">
        <v>-2000</v>
      </c>
      <c r="O51" s="11">
        <v>-87630</v>
      </c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>
        <f t="shared" si="1"/>
        <v>0</v>
      </c>
    </row>
    <row r="52" spans="2:29" outlineLevel="1" collapsed="1" x14ac:dyDescent="0.3">
      <c r="B52" s="10" t="s">
        <v>54</v>
      </c>
      <c r="C52" s="11">
        <v>0</v>
      </c>
      <c r="D52" s="11">
        <v>0</v>
      </c>
      <c r="E52" s="11">
        <v>0</v>
      </c>
      <c r="F52" s="11"/>
      <c r="G52" s="11"/>
      <c r="H52" s="11"/>
      <c r="I52" s="11"/>
      <c r="J52" s="11"/>
      <c r="K52" s="11"/>
      <c r="L52" s="11"/>
      <c r="M52" s="11"/>
      <c r="N52" s="11"/>
      <c r="O52" s="11">
        <v>0</v>
      </c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>
        <f t="shared" si="1"/>
        <v>0</v>
      </c>
    </row>
    <row r="53" spans="2:29" outlineLevel="1" collapsed="1" x14ac:dyDescent="0.3">
      <c r="B53" s="10" t="s">
        <v>55</v>
      </c>
      <c r="C53" s="11">
        <v>0</v>
      </c>
      <c r="D53" s="11">
        <v>0</v>
      </c>
      <c r="E53" s="11">
        <v>0</v>
      </c>
      <c r="F53" s="11"/>
      <c r="G53" s="11"/>
      <c r="H53" s="11"/>
      <c r="I53" s="11"/>
      <c r="J53" s="11"/>
      <c r="K53" s="11">
        <v>200</v>
      </c>
      <c r="L53" s="11"/>
      <c r="M53" s="11"/>
      <c r="N53" s="11"/>
      <c r="O53" s="11">
        <v>200</v>
      </c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>
        <f t="shared" si="1"/>
        <v>0</v>
      </c>
    </row>
    <row r="54" spans="2:29" outlineLevel="1" collapsed="1" x14ac:dyDescent="0.3">
      <c r="B54" s="10" t="s">
        <v>56</v>
      </c>
      <c r="C54" s="11">
        <v>0</v>
      </c>
      <c r="D54" s="11">
        <v>0</v>
      </c>
      <c r="E54" s="11">
        <v>147371</v>
      </c>
      <c r="F54" s="11"/>
      <c r="G54" s="11"/>
      <c r="H54" s="11"/>
      <c r="I54" s="11"/>
      <c r="J54" s="11"/>
      <c r="K54" s="11"/>
      <c r="L54" s="11"/>
      <c r="M54" s="11"/>
      <c r="N54" s="11"/>
      <c r="O54" s="11">
        <v>147371</v>
      </c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>
        <v>140000</v>
      </c>
      <c r="AB54" s="11">
        <f t="shared" si="1"/>
        <v>140000</v>
      </c>
      <c r="AC54" t="s">
        <v>155</v>
      </c>
    </row>
    <row r="55" spans="2:29" outlineLevel="1" collapsed="1" x14ac:dyDescent="0.3">
      <c r="B55" s="10" t="s">
        <v>57</v>
      </c>
      <c r="C55" s="11">
        <v>0</v>
      </c>
      <c r="D55" s="11">
        <v>0</v>
      </c>
      <c r="E55" s="11">
        <v>134913</v>
      </c>
      <c r="F55" s="11"/>
      <c r="G55" s="11"/>
      <c r="H55" s="11"/>
      <c r="I55" s="11"/>
      <c r="J55" s="11"/>
      <c r="K55" s="11">
        <v>51337.919999999998</v>
      </c>
      <c r="L55" s="11"/>
      <c r="M55" s="11"/>
      <c r="N55" s="11"/>
      <c r="O55" s="11">
        <v>186250.91999999998</v>
      </c>
      <c r="P55" s="11"/>
      <c r="Q55" s="11"/>
      <c r="R55" s="11"/>
      <c r="S55" s="11"/>
      <c r="T55" s="11"/>
      <c r="U55" s="11">
        <v>98000</v>
      </c>
      <c r="V55" s="11"/>
      <c r="W55" s="11"/>
      <c r="X55" s="11"/>
      <c r="Y55" s="11"/>
      <c r="Z55" s="11"/>
      <c r="AA55" s="11">
        <v>182000</v>
      </c>
      <c r="AB55" s="11">
        <f t="shared" si="1"/>
        <v>280000</v>
      </c>
    </row>
    <row r="56" spans="2:29" x14ac:dyDescent="0.3">
      <c r="B56" s="8" t="s">
        <v>11</v>
      </c>
      <c r="C56" s="9">
        <v>96109.63</v>
      </c>
      <c r="D56" s="9">
        <v>79164.47</v>
      </c>
      <c r="E56" s="9">
        <v>206584.33000000005</v>
      </c>
      <c r="F56" s="9">
        <v>121188.06</v>
      </c>
      <c r="G56" s="9">
        <v>103741.89</v>
      </c>
      <c r="H56" s="9">
        <v>78147.710000000006</v>
      </c>
      <c r="I56" s="9">
        <v>74672.41</v>
      </c>
      <c r="J56" s="9">
        <v>-91245.79</v>
      </c>
      <c r="K56" s="9">
        <v>-20506.05</v>
      </c>
      <c r="L56" s="9">
        <v>83072.210000000006</v>
      </c>
      <c r="M56" s="9">
        <v>108593.24</v>
      </c>
      <c r="N56" s="9">
        <v>149037.43000000002</v>
      </c>
      <c r="O56" s="9">
        <v>988559.53999999992</v>
      </c>
      <c r="P56" s="9">
        <f>SUM(P57:P70)</f>
        <v>108035.74931272001</v>
      </c>
      <c r="Q56" s="9">
        <f t="shared" ref="Q56:AA56" si="7">SUM(Q57:Q70)</f>
        <v>110035.74931272001</v>
      </c>
      <c r="R56" s="9">
        <f t="shared" si="7"/>
        <v>108035.74931272001</v>
      </c>
      <c r="S56" s="9">
        <f t="shared" si="7"/>
        <v>108035.74931272001</v>
      </c>
      <c r="T56" s="9">
        <f t="shared" si="7"/>
        <v>110035.74931272001</v>
      </c>
      <c r="U56" s="9">
        <f t="shared" si="7"/>
        <v>137785.74931272003</v>
      </c>
      <c r="V56" s="9">
        <f t="shared" si="7"/>
        <v>108035.74931272001</v>
      </c>
      <c r="W56" s="9">
        <f t="shared" si="7"/>
        <v>149785.74931272003</v>
      </c>
      <c r="X56" s="9">
        <f t="shared" si="7"/>
        <v>108035.74931272001</v>
      </c>
      <c r="Y56" s="9">
        <f t="shared" si="7"/>
        <v>108035.74931272001</v>
      </c>
      <c r="Z56" s="9">
        <f t="shared" si="7"/>
        <v>110035.74931272001</v>
      </c>
      <c r="AA56" s="9">
        <f t="shared" si="7"/>
        <v>137785.74931272003</v>
      </c>
      <c r="AB56" s="9">
        <f t="shared" si="1"/>
        <v>1403678.9917526401</v>
      </c>
    </row>
    <row r="57" spans="2:29" outlineLevel="1" x14ac:dyDescent="0.3">
      <c r="B57" s="10" t="s">
        <v>58</v>
      </c>
      <c r="C57" s="11">
        <v>75006.67</v>
      </c>
      <c r="D57" s="11">
        <v>75006.67</v>
      </c>
      <c r="E57" s="11">
        <v>146597.1</v>
      </c>
      <c r="F57" s="11">
        <v>79655.839999999997</v>
      </c>
      <c r="G57" s="11">
        <v>79655.839999999997</v>
      </c>
      <c r="H57" s="11">
        <v>58766.67</v>
      </c>
      <c r="I57" s="11">
        <v>58766.67</v>
      </c>
      <c r="J57" s="11">
        <v>58766.67</v>
      </c>
      <c r="K57" s="11">
        <v>-9030.6</v>
      </c>
      <c r="L57" s="11">
        <v>58766.67</v>
      </c>
      <c r="M57" s="11">
        <v>83071.02</v>
      </c>
      <c r="N57" s="11">
        <v>101766.67</v>
      </c>
      <c r="O57" s="11">
        <v>866795.89000000013</v>
      </c>
      <c r="P57" s="11">
        <f>79656+(79656*3.5%)</f>
        <v>82443.960000000006</v>
      </c>
      <c r="Q57" s="11">
        <f t="shared" ref="Q57:AA57" si="8">79656+(79656*3.5%)</f>
        <v>82443.960000000006</v>
      </c>
      <c r="R57" s="11">
        <f t="shared" si="8"/>
        <v>82443.960000000006</v>
      </c>
      <c r="S57" s="11">
        <f t="shared" si="8"/>
        <v>82443.960000000006</v>
      </c>
      <c r="T57" s="11">
        <f t="shared" si="8"/>
        <v>82443.960000000006</v>
      </c>
      <c r="U57" s="11">
        <f t="shared" si="8"/>
        <v>82443.960000000006</v>
      </c>
      <c r="V57" s="11">
        <f t="shared" si="8"/>
        <v>82443.960000000006</v>
      </c>
      <c r="W57" s="11">
        <f t="shared" si="8"/>
        <v>82443.960000000006</v>
      </c>
      <c r="X57" s="11">
        <f t="shared" si="8"/>
        <v>82443.960000000006</v>
      </c>
      <c r="Y57" s="11">
        <f t="shared" si="8"/>
        <v>82443.960000000006</v>
      </c>
      <c r="Z57" s="11">
        <f t="shared" si="8"/>
        <v>82443.960000000006</v>
      </c>
      <c r="AA57" s="11">
        <f t="shared" si="8"/>
        <v>82443.960000000006</v>
      </c>
      <c r="AB57" s="11">
        <f t="shared" si="1"/>
        <v>989327.5199999999</v>
      </c>
    </row>
    <row r="58" spans="2:29" outlineLevel="1" collapsed="1" x14ac:dyDescent="0.3">
      <c r="B58" s="10" t="s">
        <v>59</v>
      </c>
      <c r="C58" s="11">
        <v>0</v>
      </c>
      <c r="D58" s="11">
        <v>0</v>
      </c>
      <c r="E58" s="11">
        <v>0</v>
      </c>
      <c r="F58" s="11"/>
      <c r="G58" s="11"/>
      <c r="H58" s="11"/>
      <c r="I58" s="11"/>
      <c r="J58" s="11"/>
      <c r="K58" s="11"/>
      <c r="L58" s="11"/>
      <c r="M58" s="11"/>
      <c r="N58" s="11"/>
      <c r="O58" s="11">
        <v>0</v>
      </c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>
        <f t="shared" si="1"/>
        <v>0</v>
      </c>
    </row>
    <row r="59" spans="2:29" outlineLevel="1" collapsed="1" x14ac:dyDescent="0.3">
      <c r="B59" s="10" t="s">
        <v>60</v>
      </c>
      <c r="C59" s="11">
        <v>0</v>
      </c>
      <c r="D59" s="11">
        <v>0</v>
      </c>
      <c r="E59" s="11">
        <v>0</v>
      </c>
      <c r="F59" s="11">
        <v>9558.7000000000007</v>
      </c>
      <c r="G59" s="11">
        <v>9558.7000000000007</v>
      </c>
      <c r="H59" s="11">
        <v>7052</v>
      </c>
      <c r="I59" s="11">
        <v>7052</v>
      </c>
      <c r="J59" s="11">
        <v>7052</v>
      </c>
      <c r="K59" s="11">
        <v>-1083.67</v>
      </c>
      <c r="L59" s="11">
        <v>7052</v>
      </c>
      <c r="M59" s="11">
        <v>9968.52</v>
      </c>
      <c r="N59" s="11">
        <v>12212</v>
      </c>
      <c r="O59" s="11">
        <v>68422.25</v>
      </c>
      <c r="P59" s="11">
        <f>P57*10.2/100</f>
        <v>8409.2839199999999</v>
      </c>
      <c r="Q59" s="11">
        <f t="shared" ref="Q59:AA59" si="9">Q57*10.2/100</f>
        <v>8409.2839199999999</v>
      </c>
      <c r="R59" s="11">
        <f t="shared" si="9"/>
        <v>8409.2839199999999</v>
      </c>
      <c r="S59" s="11">
        <f t="shared" si="9"/>
        <v>8409.2839199999999</v>
      </c>
      <c r="T59" s="11">
        <f t="shared" si="9"/>
        <v>8409.2839199999999</v>
      </c>
      <c r="U59" s="11">
        <f t="shared" si="9"/>
        <v>8409.2839199999999</v>
      </c>
      <c r="V59" s="11">
        <f t="shared" si="9"/>
        <v>8409.2839199999999</v>
      </c>
      <c r="W59" s="11">
        <f t="shared" si="9"/>
        <v>8409.2839199999999</v>
      </c>
      <c r="X59" s="11">
        <f t="shared" si="9"/>
        <v>8409.2839199999999</v>
      </c>
      <c r="Y59" s="11">
        <f t="shared" si="9"/>
        <v>8409.2839199999999</v>
      </c>
      <c r="Z59" s="11">
        <f t="shared" si="9"/>
        <v>8409.2839199999999</v>
      </c>
      <c r="AA59" s="11">
        <f t="shared" si="9"/>
        <v>8409.2839199999999</v>
      </c>
      <c r="AB59" s="11">
        <f t="shared" si="1"/>
        <v>100911.40704000001</v>
      </c>
    </row>
    <row r="60" spans="2:29" outlineLevel="1" collapsed="1" x14ac:dyDescent="0.3">
      <c r="B60" s="10" t="s">
        <v>61</v>
      </c>
      <c r="C60" s="11">
        <v>9000.7999999999993</v>
      </c>
      <c r="D60" s="11">
        <v>9000.7999999999993</v>
      </c>
      <c r="E60" s="11">
        <v>15051.97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/>
      <c r="O60" s="11">
        <v>33053.57</v>
      </c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>
        <f t="shared" si="1"/>
        <v>0</v>
      </c>
    </row>
    <row r="61" spans="2:29" outlineLevel="1" collapsed="1" x14ac:dyDescent="0.3">
      <c r="B61" s="10" t="s">
        <v>62</v>
      </c>
      <c r="C61" s="11">
        <v>366</v>
      </c>
      <c r="D61" s="11">
        <v>366</v>
      </c>
      <c r="E61" s="11">
        <v>366</v>
      </c>
      <c r="F61" s="11">
        <v>366</v>
      </c>
      <c r="G61" s="11">
        <v>366</v>
      </c>
      <c r="H61" s="11">
        <v>366</v>
      </c>
      <c r="I61" s="11">
        <v>366</v>
      </c>
      <c r="J61" s="11">
        <v>366</v>
      </c>
      <c r="K61" s="11">
        <v>366</v>
      </c>
      <c r="L61" s="11">
        <v>366</v>
      </c>
      <c r="M61" s="11">
        <v>366</v>
      </c>
      <c r="N61" s="11">
        <v>366</v>
      </c>
      <c r="O61" s="11">
        <v>4392</v>
      </c>
      <c r="P61" s="11">
        <f>366*2</f>
        <v>732</v>
      </c>
      <c r="Q61" s="11">
        <f t="shared" ref="Q61:AA61" si="10">366*2</f>
        <v>732</v>
      </c>
      <c r="R61" s="11">
        <f t="shared" si="10"/>
        <v>732</v>
      </c>
      <c r="S61" s="11">
        <f t="shared" si="10"/>
        <v>732</v>
      </c>
      <c r="T61" s="11">
        <f t="shared" si="10"/>
        <v>732</v>
      </c>
      <c r="U61" s="11">
        <f t="shared" si="10"/>
        <v>732</v>
      </c>
      <c r="V61" s="11">
        <f t="shared" si="10"/>
        <v>732</v>
      </c>
      <c r="W61" s="11">
        <f t="shared" si="10"/>
        <v>732</v>
      </c>
      <c r="X61" s="11">
        <f t="shared" si="10"/>
        <v>732</v>
      </c>
      <c r="Y61" s="11">
        <f t="shared" si="10"/>
        <v>732</v>
      </c>
      <c r="Z61" s="11">
        <f t="shared" si="10"/>
        <v>732</v>
      </c>
      <c r="AA61" s="11">
        <f t="shared" si="10"/>
        <v>732</v>
      </c>
      <c r="AB61" s="11">
        <f t="shared" si="1"/>
        <v>8784</v>
      </c>
    </row>
    <row r="62" spans="2:29" outlineLevel="1" collapsed="1" x14ac:dyDescent="0.3">
      <c r="B62" s="10" t="s">
        <v>63</v>
      </c>
      <c r="C62" s="11">
        <v>0</v>
      </c>
      <c r="D62" s="11">
        <v>3433</v>
      </c>
      <c r="E62" s="11">
        <v>0</v>
      </c>
      <c r="F62" s="11"/>
      <c r="G62" s="11"/>
      <c r="H62" s="11">
        <v>2997</v>
      </c>
      <c r="I62" s="11"/>
      <c r="J62" s="11"/>
      <c r="K62" s="11"/>
      <c r="L62" s="11"/>
      <c r="M62" s="11"/>
      <c r="N62" s="11">
        <v>998.65</v>
      </c>
      <c r="O62" s="11">
        <v>7428.65</v>
      </c>
      <c r="P62" s="11"/>
      <c r="Q62" s="19">
        <v>2000</v>
      </c>
      <c r="R62" s="19"/>
      <c r="S62" s="19"/>
      <c r="T62" s="19">
        <v>2000</v>
      </c>
      <c r="U62" s="19"/>
      <c r="V62" s="19"/>
      <c r="W62" s="19">
        <v>2000</v>
      </c>
      <c r="X62" s="19"/>
      <c r="Y62" s="19"/>
      <c r="Z62" s="19">
        <v>2000</v>
      </c>
      <c r="AA62" s="19"/>
      <c r="AB62" s="11">
        <f t="shared" si="1"/>
        <v>8000</v>
      </c>
    </row>
    <row r="63" spans="2:29" outlineLevel="1" collapsed="1" x14ac:dyDescent="0.3">
      <c r="B63" s="10" t="s">
        <v>64</v>
      </c>
      <c r="C63" s="11">
        <v>0</v>
      </c>
      <c r="D63" s="11">
        <v>0</v>
      </c>
      <c r="E63" s="11">
        <v>0</v>
      </c>
      <c r="F63" s="11"/>
      <c r="G63" s="11"/>
      <c r="H63" s="11"/>
      <c r="I63" s="11"/>
      <c r="J63" s="11"/>
      <c r="K63" s="11"/>
      <c r="L63" s="11"/>
      <c r="M63" s="11">
        <v>-232096</v>
      </c>
      <c r="N63" s="11">
        <v>35706.870000000003</v>
      </c>
      <c r="O63" s="11">
        <v>-196389.13</v>
      </c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>
        <f t="shared" si="1"/>
        <v>0</v>
      </c>
    </row>
    <row r="64" spans="2:29" outlineLevel="1" collapsed="1" x14ac:dyDescent="0.3">
      <c r="B64" s="10" t="s">
        <v>65</v>
      </c>
      <c r="C64" s="11">
        <v>-366</v>
      </c>
      <c r="D64" s="11">
        <v>-366</v>
      </c>
      <c r="E64" s="11">
        <v>-366</v>
      </c>
      <c r="F64" s="11">
        <v>-366</v>
      </c>
      <c r="G64" s="11">
        <v>-366</v>
      </c>
      <c r="H64" s="11">
        <v>-366</v>
      </c>
      <c r="I64" s="11">
        <v>-366</v>
      </c>
      <c r="J64" s="11">
        <v>-366</v>
      </c>
      <c r="K64" s="11">
        <v>-366</v>
      </c>
      <c r="L64" s="11">
        <v>-366</v>
      </c>
      <c r="M64" s="11">
        <v>231730</v>
      </c>
      <c r="N64" s="11">
        <v>-36072.870000000003</v>
      </c>
      <c r="O64" s="11">
        <v>191997.13</v>
      </c>
      <c r="P64" s="11">
        <f>-366*2</f>
        <v>-732</v>
      </c>
      <c r="Q64" s="11">
        <f t="shared" ref="Q64:AA64" si="11">-366*2</f>
        <v>-732</v>
      </c>
      <c r="R64" s="11">
        <f t="shared" si="11"/>
        <v>-732</v>
      </c>
      <c r="S64" s="11">
        <f t="shared" si="11"/>
        <v>-732</v>
      </c>
      <c r="T64" s="11">
        <f t="shared" si="11"/>
        <v>-732</v>
      </c>
      <c r="U64" s="11">
        <f t="shared" si="11"/>
        <v>-732</v>
      </c>
      <c r="V64" s="11">
        <f t="shared" si="11"/>
        <v>-732</v>
      </c>
      <c r="W64" s="11">
        <f t="shared" si="11"/>
        <v>-732</v>
      </c>
      <c r="X64" s="11">
        <f t="shared" si="11"/>
        <v>-732</v>
      </c>
      <c r="Y64" s="11">
        <f t="shared" si="11"/>
        <v>-732</v>
      </c>
      <c r="Z64" s="11">
        <f t="shared" si="11"/>
        <v>-732</v>
      </c>
      <c r="AA64" s="11">
        <f t="shared" si="11"/>
        <v>-732</v>
      </c>
      <c r="AB64" s="11">
        <f t="shared" si="1"/>
        <v>-8784</v>
      </c>
    </row>
    <row r="65" spans="2:28" outlineLevel="1" collapsed="1" x14ac:dyDescent="0.3">
      <c r="B65" s="10" t="s">
        <v>66</v>
      </c>
      <c r="C65" s="11">
        <v>0</v>
      </c>
      <c r="D65" s="11">
        <v>0</v>
      </c>
      <c r="E65" s="11">
        <v>0</v>
      </c>
      <c r="F65" s="11"/>
      <c r="G65" s="11"/>
      <c r="H65" s="11"/>
      <c r="I65" s="11"/>
      <c r="J65" s="11"/>
      <c r="K65" s="11"/>
      <c r="L65" s="11">
        <v>42291.5</v>
      </c>
      <c r="M65" s="11">
        <v>34123</v>
      </c>
      <c r="N65" s="11"/>
      <c r="O65" s="11">
        <v>76414.5</v>
      </c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>
        <f t="shared" si="1"/>
        <v>0</v>
      </c>
    </row>
    <row r="66" spans="2:28" outlineLevel="1" collapsed="1" x14ac:dyDescent="0.3">
      <c r="B66" s="10" t="s">
        <v>67</v>
      </c>
      <c r="C66" s="11">
        <v>10627.55</v>
      </c>
      <c r="D66" s="11">
        <v>15004.89</v>
      </c>
      <c r="E66" s="11">
        <v>21216.01</v>
      </c>
      <c r="F66" s="11">
        <v>11283.08</v>
      </c>
      <c r="G66" s="11">
        <v>11283.08</v>
      </c>
      <c r="H66" s="11">
        <v>8337.7099999999991</v>
      </c>
      <c r="I66" s="11">
        <v>8337.7099999999991</v>
      </c>
      <c r="J66" s="11">
        <v>8337.7099999999991</v>
      </c>
      <c r="K66" s="11">
        <v>-1221.71</v>
      </c>
      <c r="L66" s="11">
        <v>8337.7099999999991</v>
      </c>
      <c r="M66" s="11">
        <v>-20960.919999999998</v>
      </c>
      <c r="N66" s="11">
        <v>19435.37</v>
      </c>
      <c r="O66" s="11">
        <v>100018.18999999999</v>
      </c>
      <c r="P66" s="11">
        <f>P57*14.1/100</f>
        <v>11624.598360000002</v>
      </c>
      <c r="Q66" s="11">
        <f t="shared" ref="Q66:AA66" si="12">Q57*14.1/100</f>
        <v>11624.598360000002</v>
      </c>
      <c r="R66" s="11">
        <f t="shared" si="12"/>
        <v>11624.598360000002</v>
      </c>
      <c r="S66" s="11">
        <f t="shared" si="12"/>
        <v>11624.598360000002</v>
      </c>
      <c r="T66" s="11">
        <f t="shared" si="12"/>
        <v>11624.598360000002</v>
      </c>
      <c r="U66" s="11">
        <f t="shared" si="12"/>
        <v>11624.598360000002</v>
      </c>
      <c r="V66" s="11">
        <f t="shared" si="12"/>
        <v>11624.598360000002</v>
      </c>
      <c r="W66" s="11">
        <f t="shared" si="12"/>
        <v>11624.598360000002</v>
      </c>
      <c r="X66" s="11">
        <f t="shared" si="12"/>
        <v>11624.598360000002</v>
      </c>
      <c r="Y66" s="11">
        <f t="shared" si="12"/>
        <v>11624.598360000002</v>
      </c>
      <c r="Z66" s="11">
        <f t="shared" si="12"/>
        <v>11624.598360000002</v>
      </c>
      <c r="AA66" s="11">
        <f t="shared" si="12"/>
        <v>11624.598360000002</v>
      </c>
      <c r="AB66" s="11">
        <f t="shared" si="1"/>
        <v>139495.18032000001</v>
      </c>
    </row>
    <row r="67" spans="2:28" outlineLevel="1" collapsed="1" x14ac:dyDescent="0.3">
      <c r="B67" s="10" t="s">
        <v>68</v>
      </c>
      <c r="C67" s="11">
        <v>1269.1099999999999</v>
      </c>
      <c r="D67" s="11">
        <v>1269.1099999999999</v>
      </c>
      <c r="E67" s="11">
        <v>2122.3200000000002</v>
      </c>
      <c r="F67" s="11">
        <v>1347.78</v>
      </c>
      <c r="G67" s="11">
        <v>1347.77</v>
      </c>
      <c r="H67" s="11">
        <v>994.33</v>
      </c>
      <c r="I67" s="11">
        <v>994.33</v>
      </c>
      <c r="J67" s="11">
        <v>994.33</v>
      </c>
      <c r="K67" s="11">
        <v>-152.80000000000001</v>
      </c>
      <c r="L67" s="11">
        <v>994.33</v>
      </c>
      <c r="M67" s="11">
        <v>1405.56</v>
      </c>
      <c r="N67" s="11">
        <v>1721.89</v>
      </c>
      <c r="O67" s="11">
        <v>14308.06</v>
      </c>
      <c r="P67" s="11">
        <f>P59*14.1/100</f>
        <v>1185.7090327199999</v>
      </c>
      <c r="Q67" s="11">
        <f t="shared" ref="Q67:AA67" si="13">Q59*14.1/100</f>
        <v>1185.7090327199999</v>
      </c>
      <c r="R67" s="11">
        <f t="shared" si="13"/>
        <v>1185.7090327199999</v>
      </c>
      <c r="S67" s="11">
        <f t="shared" si="13"/>
        <v>1185.7090327199999</v>
      </c>
      <c r="T67" s="11">
        <f t="shared" si="13"/>
        <v>1185.7090327199999</v>
      </c>
      <c r="U67" s="11">
        <f t="shared" si="13"/>
        <v>1185.7090327199999</v>
      </c>
      <c r="V67" s="11">
        <f t="shared" si="13"/>
        <v>1185.7090327199999</v>
      </c>
      <c r="W67" s="11">
        <f t="shared" si="13"/>
        <v>1185.7090327199999</v>
      </c>
      <c r="X67" s="11">
        <f t="shared" si="13"/>
        <v>1185.7090327199999</v>
      </c>
      <c r="Y67" s="11">
        <f t="shared" si="13"/>
        <v>1185.7090327199999</v>
      </c>
      <c r="Z67" s="11">
        <f t="shared" si="13"/>
        <v>1185.7090327199999</v>
      </c>
      <c r="AA67" s="11">
        <f t="shared" si="13"/>
        <v>1185.7090327199999</v>
      </c>
      <c r="AB67" s="11">
        <f t="shared" si="1"/>
        <v>14228.508392640002</v>
      </c>
    </row>
    <row r="68" spans="2:28" outlineLevel="1" collapsed="1" x14ac:dyDescent="0.3">
      <c r="B68" s="10" t="s">
        <v>69</v>
      </c>
      <c r="C68" s="11">
        <v>0</v>
      </c>
      <c r="D68" s="11">
        <v>-24550</v>
      </c>
      <c r="E68" s="11">
        <v>-12275</v>
      </c>
      <c r="F68" s="11"/>
      <c r="G68" s="11"/>
      <c r="H68" s="11"/>
      <c r="I68" s="11"/>
      <c r="J68" s="11">
        <v>-168926</v>
      </c>
      <c r="K68" s="11">
        <v>-28800</v>
      </c>
      <c r="L68" s="11">
        <v>-34370</v>
      </c>
      <c r="M68" s="11"/>
      <c r="N68" s="11">
        <v>-9329</v>
      </c>
      <c r="O68" s="11">
        <v>-278250</v>
      </c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>
        <f t="shared" si="1"/>
        <v>0</v>
      </c>
    </row>
    <row r="69" spans="2:28" outlineLevel="1" collapsed="1" x14ac:dyDescent="0.3">
      <c r="B69" s="10" t="s">
        <v>70</v>
      </c>
      <c r="C69" s="11">
        <v>0</v>
      </c>
      <c r="D69" s="11">
        <v>0</v>
      </c>
      <c r="E69" s="11">
        <v>1896.45</v>
      </c>
      <c r="F69" s="11">
        <v>19093.66</v>
      </c>
      <c r="G69" s="11">
        <v>1896.5</v>
      </c>
      <c r="H69" s="11"/>
      <c r="I69" s="11">
        <v>-1896.5</v>
      </c>
      <c r="J69" s="11"/>
      <c r="K69" s="11"/>
      <c r="L69" s="11"/>
      <c r="M69" s="11">
        <v>3903.56</v>
      </c>
      <c r="N69" s="11">
        <v>22038.65</v>
      </c>
      <c r="O69" s="11">
        <v>46932.320000000007</v>
      </c>
      <c r="P69" s="11">
        <f>P57*5/100</f>
        <v>4122.1980000000003</v>
      </c>
      <c r="Q69" s="11">
        <f t="shared" ref="Q69:AA69" si="14">Q57*5/100</f>
        <v>4122.1980000000003</v>
      </c>
      <c r="R69" s="11">
        <f t="shared" si="14"/>
        <v>4122.1980000000003</v>
      </c>
      <c r="S69" s="11">
        <f t="shared" si="14"/>
        <v>4122.1980000000003</v>
      </c>
      <c r="T69" s="11">
        <f t="shared" si="14"/>
        <v>4122.1980000000003</v>
      </c>
      <c r="U69" s="11">
        <f t="shared" si="14"/>
        <v>4122.1980000000003</v>
      </c>
      <c r="V69" s="11">
        <f t="shared" si="14"/>
        <v>4122.1980000000003</v>
      </c>
      <c r="W69" s="11">
        <f t="shared" si="14"/>
        <v>4122.1980000000003</v>
      </c>
      <c r="X69" s="11">
        <f t="shared" si="14"/>
        <v>4122.1980000000003</v>
      </c>
      <c r="Y69" s="11">
        <f t="shared" si="14"/>
        <v>4122.1980000000003</v>
      </c>
      <c r="Z69" s="11">
        <f t="shared" si="14"/>
        <v>4122.1980000000003</v>
      </c>
      <c r="AA69" s="11">
        <f t="shared" si="14"/>
        <v>4122.1980000000003</v>
      </c>
      <c r="AB69" s="11">
        <f t="shared" si="1"/>
        <v>49466.376000000018</v>
      </c>
    </row>
    <row r="70" spans="2:28" outlineLevel="1" collapsed="1" x14ac:dyDescent="0.3">
      <c r="B70" s="10" t="s">
        <v>71</v>
      </c>
      <c r="C70" s="11">
        <v>205.5</v>
      </c>
      <c r="D70" s="11">
        <v>0</v>
      </c>
      <c r="E70" s="11">
        <v>31975.48</v>
      </c>
      <c r="F70" s="11">
        <v>249</v>
      </c>
      <c r="G70" s="11"/>
      <c r="H70" s="11"/>
      <c r="I70" s="11">
        <v>1418.2</v>
      </c>
      <c r="J70" s="11">
        <v>2529.5</v>
      </c>
      <c r="K70" s="11">
        <v>19782.73</v>
      </c>
      <c r="L70" s="11"/>
      <c r="M70" s="11">
        <v>-2917.5</v>
      </c>
      <c r="N70" s="11">
        <v>193.2</v>
      </c>
      <c r="O70" s="11">
        <v>53436.11</v>
      </c>
      <c r="P70" s="11">
        <v>250</v>
      </c>
      <c r="Q70" s="11">
        <v>250</v>
      </c>
      <c r="R70" s="11">
        <v>250</v>
      </c>
      <c r="S70" s="11">
        <v>250</v>
      </c>
      <c r="T70" s="11">
        <v>250</v>
      </c>
      <c r="U70" s="11">
        <v>30000</v>
      </c>
      <c r="V70" s="11">
        <v>250</v>
      </c>
      <c r="W70" s="11">
        <v>40000</v>
      </c>
      <c r="X70" s="11">
        <v>250</v>
      </c>
      <c r="Y70" s="11">
        <v>250</v>
      </c>
      <c r="Z70" s="11">
        <v>250</v>
      </c>
      <c r="AA70" s="11">
        <v>30000</v>
      </c>
      <c r="AB70" s="11">
        <f t="shared" si="1"/>
        <v>102250</v>
      </c>
    </row>
    <row r="71" spans="2:28" x14ac:dyDescent="0.3">
      <c r="B71" s="8" t="s">
        <v>12</v>
      </c>
      <c r="C71" s="9">
        <v>170299.48</v>
      </c>
      <c r="D71" s="9">
        <v>135394.88</v>
      </c>
      <c r="E71" s="9">
        <v>247951.71999999988</v>
      </c>
      <c r="F71" s="9">
        <v>215789.25999999998</v>
      </c>
      <c r="G71" s="9">
        <v>224737.69</v>
      </c>
      <c r="H71" s="9">
        <v>214122.30000000002</v>
      </c>
      <c r="I71" s="9">
        <v>218401.81999999998</v>
      </c>
      <c r="J71" s="9">
        <v>182700.34000000003</v>
      </c>
      <c r="K71" s="9">
        <v>285562.51</v>
      </c>
      <c r="L71" s="9">
        <v>96085.610000000015</v>
      </c>
      <c r="M71" s="9">
        <v>376434.58</v>
      </c>
      <c r="N71" s="9">
        <v>63624.650000000009</v>
      </c>
      <c r="O71" s="9">
        <v>2431104.84</v>
      </c>
      <c r="P71" s="9">
        <f>SUM(P72:P119)</f>
        <v>192200</v>
      </c>
      <c r="Q71" s="9">
        <f t="shared" ref="Q71:AA71" si="15">SUM(Q72:Q119)</f>
        <v>235700</v>
      </c>
      <c r="R71" s="9">
        <f t="shared" si="15"/>
        <v>190200</v>
      </c>
      <c r="S71" s="9">
        <f t="shared" si="15"/>
        <v>285700</v>
      </c>
      <c r="T71" s="9">
        <f t="shared" si="15"/>
        <v>281700</v>
      </c>
      <c r="U71" s="9">
        <f t="shared" si="15"/>
        <v>117200</v>
      </c>
      <c r="V71" s="9">
        <f t="shared" si="15"/>
        <v>96200</v>
      </c>
      <c r="W71" s="9">
        <f t="shared" si="15"/>
        <v>170700</v>
      </c>
      <c r="X71" s="9">
        <f t="shared" si="15"/>
        <v>154200</v>
      </c>
      <c r="Y71" s="9">
        <f t="shared" si="15"/>
        <v>184700</v>
      </c>
      <c r="Z71" s="9">
        <f t="shared" si="15"/>
        <v>169700</v>
      </c>
      <c r="AA71" s="9">
        <f t="shared" si="15"/>
        <v>592628</v>
      </c>
      <c r="AB71" s="9">
        <f t="shared" si="1"/>
        <v>2670828</v>
      </c>
    </row>
    <row r="72" spans="2:28" outlineLevel="1" x14ac:dyDescent="0.3">
      <c r="B72" s="10" t="s">
        <v>72</v>
      </c>
      <c r="C72" s="11">
        <v>0</v>
      </c>
      <c r="D72" s="11">
        <v>0</v>
      </c>
      <c r="E72" s="11">
        <v>429857.66</v>
      </c>
      <c r="F72" s="11"/>
      <c r="G72" s="11"/>
      <c r="H72" s="11"/>
      <c r="I72" s="11"/>
      <c r="J72" s="11"/>
      <c r="K72" s="11"/>
      <c r="L72" s="11"/>
      <c r="M72" s="11"/>
      <c r="N72" s="11"/>
      <c r="O72" s="11">
        <v>429857.66</v>
      </c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>
        <v>407428</v>
      </c>
      <c r="AB72" s="11">
        <f t="shared" si="1"/>
        <v>407428</v>
      </c>
    </row>
    <row r="73" spans="2:28" outlineLevel="1" collapsed="1" x14ac:dyDescent="0.3">
      <c r="B73" s="10" t="s">
        <v>73</v>
      </c>
      <c r="C73" s="11">
        <v>0</v>
      </c>
      <c r="D73" s="11">
        <v>0</v>
      </c>
      <c r="E73" s="11">
        <v>0</v>
      </c>
      <c r="F73" s="11"/>
      <c r="G73" s="11"/>
      <c r="H73" s="11"/>
      <c r="I73" s="11"/>
      <c r="J73" s="11"/>
      <c r="K73" s="11"/>
      <c r="L73" s="11"/>
      <c r="M73" s="11"/>
      <c r="N73" s="11"/>
      <c r="O73" s="11">
        <v>0</v>
      </c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>
        <f t="shared" ref="AB73:AB136" si="16">SUM(P73:AA73)</f>
        <v>0</v>
      </c>
    </row>
    <row r="74" spans="2:28" outlineLevel="1" collapsed="1" x14ac:dyDescent="0.3">
      <c r="B74" s="10" t="s">
        <v>74</v>
      </c>
      <c r="C74" s="11">
        <v>0</v>
      </c>
      <c r="D74" s="11">
        <v>0</v>
      </c>
      <c r="E74" s="11">
        <v>3750</v>
      </c>
      <c r="F74" s="11"/>
      <c r="G74" s="11"/>
      <c r="H74" s="11"/>
      <c r="I74" s="11"/>
      <c r="J74" s="11"/>
      <c r="K74" s="11">
        <v>3600</v>
      </c>
      <c r="L74" s="11"/>
      <c r="M74" s="11"/>
      <c r="N74" s="11"/>
      <c r="O74" s="11">
        <v>7350</v>
      </c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>
        <f t="shared" si="16"/>
        <v>0</v>
      </c>
    </row>
    <row r="75" spans="2:28" outlineLevel="1" collapsed="1" x14ac:dyDescent="0.3">
      <c r="B75" s="10" t="s">
        <v>75</v>
      </c>
      <c r="C75" s="11">
        <v>0</v>
      </c>
      <c r="D75" s="11">
        <v>0</v>
      </c>
      <c r="E75" s="11">
        <v>402</v>
      </c>
      <c r="F75" s="11">
        <v>-402</v>
      </c>
      <c r="G75" s="11"/>
      <c r="H75" s="11"/>
      <c r="I75" s="11"/>
      <c r="J75" s="11"/>
      <c r="K75" s="11"/>
      <c r="L75" s="11"/>
      <c r="M75" s="11"/>
      <c r="N75" s="11"/>
      <c r="O75" s="11">
        <v>0</v>
      </c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>
        <f t="shared" si="16"/>
        <v>0</v>
      </c>
    </row>
    <row r="76" spans="2:28" outlineLevel="1" collapsed="1" x14ac:dyDescent="0.3">
      <c r="B76" s="10" t="s">
        <v>76</v>
      </c>
      <c r="C76" s="11">
        <v>0</v>
      </c>
      <c r="D76" s="11">
        <v>0</v>
      </c>
      <c r="E76" s="11">
        <v>0</v>
      </c>
      <c r="F76" s="11"/>
      <c r="G76" s="11"/>
      <c r="H76" s="11">
        <v>268</v>
      </c>
      <c r="I76" s="11">
        <v>402</v>
      </c>
      <c r="J76" s="11">
        <v>402</v>
      </c>
      <c r="K76" s="11">
        <v>0</v>
      </c>
      <c r="L76" s="11"/>
      <c r="M76" s="11">
        <v>273.36</v>
      </c>
      <c r="N76" s="11"/>
      <c r="O76" s="11">
        <v>1345.3600000000001</v>
      </c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>
        <f t="shared" si="16"/>
        <v>0</v>
      </c>
    </row>
    <row r="77" spans="2:28" outlineLevel="1" collapsed="1" x14ac:dyDescent="0.3">
      <c r="B77" s="10" t="s">
        <v>77</v>
      </c>
      <c r="C77" s="11">
        <v>3059.4</v>
      </c>
      <c r="D77" s="11">
        <v>2014.34</v>
      </c>
      <c r="E77" s="11">
        <v>365.88</v>
      </c>
      <c r="F77" s="11">
        <v>2162.75</v>
      </c>
      <c r="G77" s="11">
        <v>3154.68</v>
      </c>
      <c r="H77" s="11">
        <v>2352.9299999999998</v>
      </c>
      <c r="I77" s="11">
        <v>2334.66</v>
      </c>
      <c r="J77" s="11">
        <v>2039.5</v>
      </c>
      <c r="K77" s="11">
        <v>3043.16</v>
      </c>
      <c r="L77" s="11">
        <v>1845.7</v>
      </c>
      <c r="M77" s="11">
        <v>2050.52</v>
      </c>
      <c r="N77" s="11">
        <v>10222.86</v>
      </c>
      <c r="O77" s="11">
        <v>34646.380000000005</v>
      </c>
      <c r="P77" s="19">
        <v>1700</v>
      </c>
      <c r="Q77" s="19">
        <v>16700</v>
      </c>
      <c r="R77" s="19">
        <v>1700</v>
      </c>
      <c r="S77" s="19">
        <v>1700</v>
      </c>
      <c r="T77" s="19">
        <v>1700</v>
      </c>
      <c r="U77" s="19">
        <v>1700</v>
      </c>
      <c r="V77" s="19">
        <v>1700</v>
      </c>
      <c r="W77" s="19">
        <v>16700</v>
      </c>
      <c r="X77" s="19">
        <v>1700</v>
      </c>
      <c r="Y77" s="19">
        <v>1700</v>
      </c>
      <c r="Z77" s="19">
        <v>1700</v>
      </c>
      <c r="AA77" s="19">
        <v>1700</v>
      </c>
      <c r="AB77" s="11">
        <f t="shared" si="16"/>
        <v>50400</v>
      </c>
    </row>
    <row r="78" spans="2:28" outlineLevel="1" collapsed="1" x14ac:dyDescent="0.3">
      <c r="B78" s="10" t="s">
        <v>78</v>
      </c>
      <c r="C78" s="11">
        <v>25137.93</v>
      </c>
      <c r="D78" s="11">
        <v>29561.68</v>
      </c>
      <c r="E78" s="11">
        <v>66861.279999999999</v>
      </c>
      <c r="F78" s="11">
        <v>82575.41</v>
      </c>
      <c r="G78" s="11">
        <v>65276.08</v>
      </c>
      <c r="H78" s="11">
        <v>59798.87</v>
      </c>
      <c r="I78" s="11">
        <v>65124.86</v>
      </c>
      <c r="J78" s="11">
        <v>45255.08</v>
      </c>
      <c r="K78" s="11">
        <v>26888.33</v>
      </c>
      <c r="L78" s="11">
        <v>15745.53</v>
      </c>
      <c r="M78" s="11">
        <v>15231.91</v>
      </c>
      <c r="N78" s="11">
        <v>-62648.29</v>
      </c>
      <c r="O78" s="11">
        <v>434808.67000000004</v>
      </c>
      <c r="P78" s="11">
        <v>65000</v>
      </c>
      <c r="Q78" s="11">
        <v>50000</v>
      </c>
      <c r="R78" s="11">
        <v>45000</v>
      </c>
      <c r="S78" s="11">
        <v>50000</v>
      </c>
      <c r="T78" s="11">
        <v>45000</v>
      </c>
      <c r="U78" s="11">
        <v>20000</v>
      </c>
      <c r="V78" s="11">
        <v>15000</v>
      </c>
      <c r="W78" s="11">
        <v>25000</v>
      </c>
      <c r="X78" s="11">
        <v>30000</v>
      </c>
      <c r="Y78" s="11">
        <v>30000</v>
      </c>
      <c r="Z78" s="11">
        <v>40000</v>
      </c>
      <c r="AA78" s="11">
        <v>65000</v>
      </c>
      <c r="AB78" s="11">
        <f t="shared" si="16"/>
        <v>480000</v>
      </c>
    </row>
    <row r="79" spans="2:28" outlineLevel="1" collapsed="1" x14ac:dyDescent="0.3">
      <c r="B79" s="10" t="s">
        <v>79</v>
      </c>
      <c r="C79" s="11">
        <v>29364.78</v>
      </c>
      <c r="D79" s="11">
        <v>29364.78</v>
      </c>
      <c r="E79" s="11">
        <v>33627.32</v>
      </c>
      <c r="F79" s="11">
        <v>28235.360000000001</v>
      </c>
      <c r="G79" s="11">
        <v>29364.78</v>
      </c>
      <c r="H79" s="11">
        <v>26574.46</v>
      </c>
      <c r="I79" s="11">
        <v>29364.78</v>
      </c>
      <c r="J79" s="11">
        <v>29364.78</v>
      </c>
      <c r="K79" s="11">
        <v>26574.46</v>
      </c>
      <c r="L79" s="11">
        <v>15767.74</v>
      </c>
      <c r="M79" s="11">
        <v>29807.53</v>
      </c>
      <c r="N79" s="11">
        <v>27956.33</v>
      </c>
      <c r="O79" s="11">
        <v>335367.10000000003</v>
      </c>
      <c r="P79" s="11">
        <v>30000</v>
      </c>
      <c r="Q79" s="11">
        <v>30000</v>
      </c>
      <c r="R79" s="11">
        <v>30000</v>
      </c>
      <c r="S79" s="11">
        <v>30000</v>
      </c>
      <c r="T79" s="11">
        <v>30000</v>
      </c>
      <c r="U79" s="11">
        <v>30000</v>
      </c>
      <c r="V79" s="11">
        <v>30000</v>
      </c>
      <c r="W79" s="11">
        <v>30000</v>
      </c>
      <c r="X79" s="11">
        <v>30000</v>
      </c>
      <c r="Y79" s="11">
        <v>30000</v>
      </c>
      <c r="Z79" s="11">
        <v>30000</v>
      </c>
      <c r="AA79" s="11">
        <v>30000</v>
      </c>
      <c r="AB79" s="11">
        <f t="shared" si="16"/>
        <v>360000</v>
      </c>
    </row>
    <row r="80" spans="2:28" outlineLevel="1" collapsed="1" x14ac:dyDescent="0.3">
      <c r="B80" s="10" t="s">
        <v>80</v>
      </c>
      <c r="C80" s="11">
        <v>0</v>
      </c>
      <c r="D80" s="11">
        <v>8615.69</v>
      </c>
      <c r="E80" s="11">
        <v>0</v>
      </c>
      <c r="F80" s="11"/>
      <c r="G80" s="11">
        <v>5543</v>
      </c>
      <c r="H80" s="11"/>
      <c r="I80" s="11"/>
      <c r="J80" s="11"/>
      <c r="K80" s="11"/>
      <c r="L80" s="11"/>
      <c r="M80" s="11"/>
      <c r="N80" s="11">
        <v>4434</v>
      </c>
      <c r="O80" s="11">
        <v>18592.690000000002</v>
      </c>
      <c r="P80" s="11"/>
      <c r="Q80" s="11"/>
      <c r="R80" s="11">
        <v>5500</v>
      </c>
      <c r="S80" s="11"/>
      <c r="T80" s="11"/>
      <c r="U80" s="11"/>
      <c r="V80" s="11"/>
      <c r="W80" s="11"/>
      <c r="X80" s="11">
        <v>5500</v>
      </c>
      <c r="Y80" s="11"/>
      <c r="Z80" s="11"/>
      <c r="AA80" s="11">
        <v>9500</v>
      </c>
      <c r="AB80" s="11">
        <f t="shared" si="16"/>
        <v>20500</v>
      </c>
    </row>
    <row r="81" spans="2:28" outlineLevel="1" collapsed="1" x14ac:dyDescent="0.3">
      <c r="B81" s="10" t="s">
        <v>81</v>
      </c>
      <c r="C81" s="11">
        <v>0</v>
      </c>
      <c r="D81" s="11">
        <v>0</v>
      </c>
      <c r="E81" s="11">
        <v>0</v>
      </c>
      <c r="F81" s="11"/>
      <c r="G81" s="11"/>
      <c r="H81" s="11"/>
      <c r="I81" s="11"/>
      <c r="J81" s="11"/>
      <c r="K81" s="11"/>
      <c r="L81" s="11"/>
      <c r="M81" s="11"/>
      <c r="N81" s="11"/>
      <c r="O81" s="11">
        <v>0</v>
      </c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>
        <f t="shared" si="16"/>
        <v>0</v>
      </c>
    </row>
    <row r="82" spans="2:28" outlineLevel="1" collapsed="1" x14ac:dyDescent="0.3">
      <c r="B82" s="10" t="s">
        <v>82</v>
      </c>
      <c r="C82" s="11">
        <v>16381.14</v>
      </c>
      <c r="D82" s="11">
        <v>10199</v>
      </c>
      <c r="E82" s="11">
        <v>2072.4899999999998</v>
      </c>
      <c r="F82" s="11">
        <v>32671.52</v>
      </c>
      <c r="G82" s="11">
        <v>-1951.12</v>
      </c>
      <c r="H82" s="11">
        <v>1639.38</v>
      </c>
      <c r="I82" s="11">
        <v>18319.32</v>
      </c>
      <c r="J82" s="11">
        <v>1607.72</v>
      </c>
      <c r="K82" s="11">
        <v>3100.1</v>
      </c>
      <c r="L82" s="11">
        <v>28010.6</v>
      </c>
      <c r="M82" s="11">
        <v>11998.6</v>
      </c>
      <c r="N82" s="11">
        <v>6174.27</v>
      </c>
      <c r="O82" s="11">
        <v>130223.02</v>
      </c>
      <c r="P82" s="11">
        <v>12500</v>
      </c>
      <c r="Q82" s="11">
        <v>12500</v>
      </c>
      <c r="R82" s="11">
        <v>12500</v>
      </c>
      <c r="S82" s="11">
        <v>12500</v>
      </c>
      <c r="T82" s="11">
        <v>12500</v>
      </c>
      <c r="U82" s="11">
        <v>12500</v>
      </c>
      <c r="V82" s="11">
        <v>12500</v>
      </c>
      <c r="W82" s="11">
        <v>12500</v>
      </c>
      <c r="X82" s="11">
        <v>12500</v>
      </c>
      <c r="Y82" s="11">
        <v>12500</v>
      </c>
      <c r="Z82" s="11">
        <v>12500</v>
      </c>
      <c r="AA82" s="11">
        <v>12500</v>
      </c>
      <c r="AB82" s="11">
        <f t="shared" si="16"/>
        <v>150000</v>
      </c>
    </row>
    <row r="83" spans="2:28" outlineLevel="1" collapsed="1" x14ac:dyDescent="0.3">
      <c r="B83" s="10" t="s">
        <v>83</v>
      </c>
      <c r="C83" s="11">
        <v>0</v>
      </c>
      <c r="D83" s="11">
        <v>0</v>
      </c>
      <c r="E83" s="11">
        <v>0</v>
      </c>
      <c r="F83" s="11"/>
      <c r="G83" s="11"/>
      <c r="H83" s="11"/>
      <c r="I83" s="11"/>
      <c r="J83" s="11"/>
      <c r="K83" s="11"/>
      <c r="L83" s="11"/>
      <c r="M83" s="11"/>
      <c r="N83" s="11"/>
      <c r="O83" s="11">
        <v>0</v>
      </c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>
        <f t="shared" si="16"/>
        <v>0</v>
      </c>
    </row>
    <row r="84" spans="2:28" outlineLevel="1" collapsed="1" x14ac:dyDescent="0.3">
      <c r="B84" s="10" t="s">
        <v>84</v>
      </c>
      <c r="C84" s="11">
        <v>0</v>
      </c>
      <c r="D84" s="11">
        <v>0</v>
      </c>
      <c r="E84" s="11">
        <v>0</v>
      </c>
      <c r="F84" s="11"/>
      <c r="G84" s="11"/>
      <c r="H84" s="11"/>
      <c r="I84" s="11"/>
      <c r="J84" s="11"/>
      <c r="K84" s="11"/>
      <c r="L84" s="11"/>
      <c r="M84" s="11"/>
      <c r="N84" s="11"/>
      <c r="O84" s="11">
        <v>0</v>
      </c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>
        <f t="shared" si="16"/>
        <v>0</v>
      </c>
    </row>
    <row r="85" spans="2:28" outlineLevel="1" collapsed="1" x14ac:dyDescent="0.3">
      <c r="B85" s="10" t="s">
        <v>85</v>
      </c>
      <c r="C85" s="11">
        <v>0</v>
      </c>
      <c r="D85" s="11">
        <v>17125</v>
      </c>
      <c r="E85" s="11">
        <v>0</v>
      </c>
      <c r="F85" s="11"/>
      <c r="G85" s="11"/>
      <c r="H85" s="11"/>
      <c r="I85" s="11">
        <v>2060</v>
      </c>
      <c r="J85" s="11"/>
      <c r="K85" s="11"/>
      <c r="L85" s="11"/>
      <c r="M85" s="11">
        <v>1861.93</v>
      </c>
      <c r="N85" s="11"/>
      <c r="O85" s="11">
        <v>21046.93</v>
      </c>
      <c r="P85" s="11"/>
      <c r="Q85" s="11"/>
      <c r="R85" s="11"/>
      <c r="S85" s="11">
        <v>2000</v>
      </c>
      <c r="T85" s="11"/>
      <c r="U85" s="11"/>
      <c r="V85" s="11"/>
      <c r="W85" s="11">
        <v>2000</v>
      </c>
      <c r="X85" s="11"/>
      <c r="Y85" s="11"/>
      <c r="Z85" s="11">
        <v>20000</v>
      </c>
      <c r="AA85" s="11"/>
      <c r="AB85" s="11">
        <f t="shared" si="16"/>
        <v>24000</v>
      </c>
    </row>
    <row r="86" spans="2:28" outlineLevel="1" collapsed="1" x14ac:dyDescent="0.3">
      <c r="B86" s="10" t="s">
        <v>86</v>
      </c>
      <c r="C86" s="11">
        <v>0</v>
      </c>
      <c r="D86" s="11">
        <v>0</v>
      </c>
      <c r="E86" s="11">
        <v>0</v>
      </c>
      <c r="F86" s="11"/>
      <c r="G86" s="11"/>
      <c r="H86" s="11"/>
      <c r="I86" s="11"/>
      <c r="J86" s="11"/>
      <c r="K86" s="11">
        <v>15035</v>
      </c>
      <c r="L86" s="11"/>
      <c r="M86" s="11"/>
      <c r="N86" s="11"/>
      <c r="O86" s="11">
        <v>15035</v>
      </c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>
        <f t="shared" si="16"/>
        <v>0</v>
      </c>
    </row>
    <row r="87" spans="2:28" outlineLevel="1" collapsed="1" x14ac:dyDescent="0.3">
      <c r="B87" s="10" t="s">
        <v>87</v>
      </c>
      <c r="C87" s="11">
        <v>0</v>
      </c>
      <c r="D87" s="11">
        <v>0</v>
      </c>
      <c r="E87" s="11">
        <v>0</v>
      </c>
      <c r="F87" s="11"/>
      <c r="G87" s="11"/>
      <c r="H87" s="11">
        <v>8018</v>
      </c>
      <c r="I87" s="11"/>
      <c r="J87" s="11"/>
      <c r="K87" s="11">
        <v>4170</v>
      </c>
      <c r="L87" s="11"/>
      <c r="M87" s="11">
        <v>6240.25</v>
      </c>
      <c r="N87" s="11"/>
      <c r="O87" s="11">
        <v>18428.25</v>
      </c>
      <c r="P87" s="11">
        <v>1500</v>
      </c>
      <c r="Q87" s="11">
        <v>1500</v>
      </c>
      <c r="R87" s="11">
        <v>1500</v>
      </c>
      <c r="S87" s="11">
        <f>1500</f>
        <v>1500</v>
      </c>
      <c r="T87" s="11">
        <v>1500</v>
      </c>
      <c r="U87" s="11"/>
      <c r="V87" s="11"/>
      <c r="W87" s="11">
        <v>1500</v>
      </c>
      <c r="X87" s="11">
        <v>1500</v>
      </c>
      <c r="Y87" s="11">
        <v>1500</v>
      </c>
      <c r="Z87" s="11">
        <v>1500</v>
      </c>
      <c r="AA87" s="11">
        <v>1500</v>
      </c>
      <c r="AB87" s="11">
        <f t="shared" si="16"/>
        <v>15000</v>
      </c>
    </row>
    <row r="88" spans="2:28" outlineLevel="1" collapsed="1" x14ac:dyDescent="0.3">
      <c r="B88" s="10" t="s">
        <v>88</v>
      </c>
      <c r="C88" s="11">
        <v>1615.2</v>
      </c>
      <c r="D88" s="11">
        <v>157.53</v>
      </c>
      <c r="E88" s="11">
        <v>2550.89</v>
      </c>
      <c r="F88" s="11"/>
      <c r="G88" s="11">
        <v>2005.2</v>
      </c>
      <c r="H88" s="11">
        <v>-2468.75</v>
      </c>
      <c r="I88" s="11">
        <v>6309.55</v>
      </c>
      <c r="J88" s="11"/>
      <c r="K88" s="11">
        <v>11761.45</v>
      </c>
      <c r="L88" s="11">
        <v>128</v>
      </c>
      <c r="M88" s="11">
        <v>35015.56</v>
      </c>
      <c r="N88" s="11"/>
      <c r="O88" s="11">
        <v>57074.63</v>
      </c>
      <c r="P88" s="11">
        <v>5000</v>
      </c>
      <c r="Q88" s="11">
        <v>5000</v>
      </c>
      <c r="R88" s="11">
        <v>5000</v>
      </c>
      <c r="S88" s="11">
        <v>5000</v>
      </c>
      <c r="T88" s="11">
        <v>5000</v>
      </c>
      <c r="U88" s="11"/>
      <c r="V88" s="11"/>
      <c r="W88" s="11">
        <v>5000</v>
      </c>
      <c r="X88" s="11">
        <v>5000</v>
      </c>
      <c r="Y88" s="11">
        <v>5000</v>
      </c>
      <c r="Z88" s="11">
        <v>5000</v>
      </c>
      <c r="AA88" s="11">
        <v>5000</v>
      </c>
      <c r="AB88" s="11">
        <f t="shared" si="16"/>
        <v>50000</v>
      </c>
    </row>
    <row r="89" spans="2:28" outlineLevel="1" collapsed="1" x14ac:dyDescent="0.3">
      <c r="B89" s="10" t="s">
        <v>89</v>
      </c>
      <c r="C89" s="11">
        <v>0</v>
      </c>
      <c r="D89" s="11">
        <v>0</v>
      </c>
      <c r="E89" s="11">
        <v>0</v>
      </c>
      <c r="F89" s="11"/>
      <c r="G89" s="11"/>
      <c r="H89" s="11"/>
      <c r="I89" s="11"/>
      <c r="J89" s="11"/>
      <c r="K89" s="11"/>
      <c r="L89" s="11"/>
      <c r="M89" s="11"/>
      <c r="N89" s="11">
        <v>1727.31</v>
      </c>
      <c r="O89" s="11">
        <v>1727.31</v>
      </c>
      <c r="P89" s="11">
        <v>1000</v>
      </c>
      <c r="Q89" s="11">
        <v>1000</v>
      </c>
      <c r="R89" s="11">
        <v>1000</v>
      </c>
      <c r="S89" s="11">
        <v>1000</v>
      </c>
      <c r="T89" s="11">
        <v>1000</v>
      </c>
      <c r="U89" s="11"/>
      <c r="V89" s="11"/>
      <c r="W89" s="11">
        <v>1000</v>
      </c>
      <c r="X89" s="11">
        <v>1000</v>
      </c>
      <c r="Y89" s="11">
        <v>1000</v>
      </c>
      <c r="Z89" s="11">
        <v>1000</v>
      </c>
      <c r="AA89" s="11">
        <v>1000</v>
      </c>
      <c r="AB89" s="11">
        <f t="shared" si="16"/>
        <v>10000</v>
      </c>
    </row>
    <row r="90" spans="2:28" outlineLevel="1" collapsed="1" x14ac:dyDescent="0.3">
      <c r="B90" s="10" t="s">
        <v>90</v>
      </c>
      <c r="C90" s="11">
        <v>80</v>
      </c>
      <c r="D90" s="11">
        <v>132.30000000000001</v>
      </c>
      <c r="E90" s="11">
        <v>3781.72</v>
      </c>
      <c r="F90" s="11"/>
      <c r="G90" s="11">
        <v>499</v>
      </c>
      <c r="H90" s="11"/>
      <c r="I90" s="11"/>
      <c r="J90" s="11">
        <v>4908</v>
      </c>
      <c r="K90" s="11">
        <v>8924.2999999999993</v>
      </c>
      <c r="L90" s="11"/>
      <c r="M90" s="11">
        <v>3064.53</v>
      </c>
      <c r="N90" s="11">
        <v>683.92</v>
      </c>
      <c r="O90" s="11">
        <v>22073.769999999997</v>
      </c>
      <c r="P90" s="11">
        <v>2500</v>
      </c>
      <c r="Q90" s="11">
        <v>2500</v>
      </c>
      <c r="R90" s="11">
        <v>2500</v>
      </c>
      <c r="S90" s="11">
        <v>2500</v>
      </c>
      <c r="T90" s="11">
        <v>2500</v>
      </c>
      <c r="U90" s="11"/>
      <c r="V90" s="11"/>
      <c r="W90" s="11">
        <v>2500</v>
      </c>
      <c r="X90" s="11">
        <v>2500</v>
      </c>
      <c r="Y90" s="11">
        <v>2500</v>
      </c>
      <c r="Z90" s="11">
        <v>2500</v>
      </c>
      <c r="AA90" s="11">
        <v>2500</v>
      </c>
      <c r="AB90" s="11">
        <f t="shared" si="16"/>
        <v>25000</v>
      </c>
    </row>
    <row r="91" spans="2:28" outlineLevel="1" collapsed="1" x14ac:dyDescent="0.3">
      <c r="B91" s="10" t="s">
        <v>91</v>
      </c>
      <c r="C91" s="11">
        <v>0</v>
      </c>
      <c r="D91" s="11">
        <v>0</v>
      </c>
      <c r="E91" s="11">
        <v>0</v>
      </c>
      <c r="F91" s="11"/>
      <c r="G91" s="11"/>
      <c r="H91" s="11"/>
      <c r="I91" s="11">
        <v>18125</v>
      </c>
      <c r="J91" s="11"/>
      <c r="K91" s="11"/>
      <c r="L91" s="11"/>
      <c r="M91" s="11"/>
      <c r="N91" s="11">
        <v>2875</v>
      </c>
      <c r="O91" s="11">
        <v>21000</v>
      </c>
      <c r="P91" s="11"/>
      <c r="Q91" s="11"/>
      <c r="R91" s="11"/>
      <c r="S91" s="11">
        <v>4000</v>
      </c>
      <c r="T91" s="11">
        <v>4000</v>
      </c>
      <c r="U91" s="11">
        <v>10000</v>
      </c>
      <c r="V91" s="11">
        <v>4000</v>
      </c>
      <c r="W91" s="11">
        <v>4000</v>
      </c>
      <c r="X91" s="11">
        <v>4000</v>
      </c>
      <c r="Y91" s="11"/>
      <c r="Z91" s="11"/>
      <c r="AA91" s="11"/>
      <c r="AB91" s="11">
        <f t="shared" si="16"/>
        <v>30000</v>
      </c>
    </row>
    <row r="92" spans="2:28" outlineLevel="1" collapsed="1" x14ac:dyDescent="0.3">
      <c r="B92" s="10" t="s">
        <v>92</v>
      </c>
      <c r="C92" s="11">
        <v>0</v>
      </c>
      <c r="D92" s="11">
        <v>0</v>
      </c>
      <c r="E92" s="11">
        <v>0</v>
      </c>
      <c r="F92" s="11"/>
      <c r="G92" s="11"/>
      <c r="H92" s="11"/>
      <c r="I92" s="11"/>
      <c r="J92" s="11"/>
      <c r="K92" s="11">
        <v>121000</v>
      </c>
      <c r="L92" s="11"/>
      <c r="M92" s="11"/>
      <c r="N92" s="11"/>
      <c r="O92" s="11">
        <v>121000</v>
      </c>
      <c r="P92" s="11"/>
      <c r="Q92" s="11"/>
      <c r="R92" s="11"/>
      <c r="S92" s="11"/>
      <c r="T92" s="11">
        <v>30000</v>
      </c>
      <c r="U92" s="11"/>
      <c r="V92" s="11"/>
      <c r="W92" s="11"/>
      <c r="X92" s="11"/>
      <c r="Y92" s="11"/>
      <c r="Z92" s="11"/>
      <c r="AA92" s="11"/>
      <c r="AB92" s="11">
        <f t="shared" si="16"/>
        <v>30000</v>
      </c>
    </row>
    <row r="93" spans="2:28" outlineLevel="1" collapsed="1" x14ac:dyDescent="0.3">
      <c r="B93" s="10" t="s">
        <v>93</v>
      </c>
      <c r="C93" s="11">
        <v>0</v>
      </c>
      <c r="D93" s="11">
        <v>0</v>
      </c>
      <c r="E93" s="11">
        <v>0</v>
      </c>
      <c r="F93" s="11"/>
      <c r="G93" s="11"/>
      <c r="H93" s="11"/>
      <c r="I93" s="11">
        <v>27621.59</v>
      </c>
      <c r="J93" s="11"/>
      <c r="K93" s="11"/>
      <c r="L93" s="11"/>
      <c r="M93" s="11"/>
      <c r="N93" s="11"/>
      <c r="O93" s="11">
        <v>27621.59</v>
      </c>
      <c r="P93" s="11"/>
      <c r="Q93" s="11"/>
      <c r="R93" s="11"/>
      <c r="S93" s="11">
        <v>35000</v>
      </c>
      <c r="T93" s="11"/>
      <c r="U93" s="11"/>
      <c r="V93" s="11"/>
      <c r="W93" s="11"/>
      <c r="X93" s="11"/>
      <c r="Y93" s="11"/>
      <c r="Z93" s="11"/>
      <c r="AA93" s="11"/>
      <c r="AB93" s="11">
        <f t="shared" si="16"/>
        <v>35000</v>
      </c>
    </row>
    <row r="94" spans="2:28" outlineLevel="1" collapsed="1" x14ac:dyDescent="0.3">
      <c r="B94" s="10" t="s">
        <v>94</v>
      </c>
      <c r="C94" s="11">
        <v>42189.69</v>
      </c>
      <c r="D94" s="11">
        <v>23626.48</v>
      </c>
      <c r="E94" s="11">
        <v>-305453.3</v>
      </c>
      <c r="F94" s="11">
        <v>10909.98</v>
      </c>
      <c r="G94" s="11">
        <v>53647</v>
      </c>
      <c r="H94" s="11">
        <v>35368.31</v>
      </c>
      <c r="I94" s="11">
        <v>2625.2</v>
      </c>
      <c r="J94" s="11">
        <v>4412.6400000000003</v>
      </c>
      <c r="K94" s="11"/>
      <c r="L94" s="11"/>
      <c r="M94" s="11">
        <v>176190</v>
      </c>
      <c r="N94" s="11">
        <v>-266.63</v>
      </c>
      <c r="O94" s="11">
        <v>43249.370000000032</v>
      </c>
      <c r="P94" s="11"/>
      <c r="Q94" s="11"/>
      <c r="R94" s="11"/>
      <c r="S94" s="11">
        <v>40000</v>
      </c>
      <c r="T94" s="11">
        <v>30000</v>
      </c>
      <c r="U94" s="11"/>
      <c r="V94" s="11"/>
      <c r="W94" s="11"/>
      <c r="X94" s="11"/>
      <c r="Y94" s="11"/>
      <c r="Z94" s="11"/>
      <c r="AA94" s="11"/>
      <c r="AB94" s="11">
        <f t="shared" si="16"/>
        <v>70000</v>
      </c>
    </row>
    <row r="95" spans="2:28" outlineLevel="1" collapsed="1" x14ac:dyDescent="0.3">
      <c r="B95" s="10" t="s">
        <v>95</v>
      </c>
      <c r="C95" s="11">
        <v>0</v>
      </c>
      <c r="D95" s="11">
        <v>0</v>
      </c>
      <c r="E95" s="11">
        <v>0</v>
      </c>
      <c r="F95" s="11"/>
      <c r="G95" s="11">
        <v>891.13</v>
      </c>
      <c r="H95" s="11"/>
      <c r="I95" s="11">
        <v>764.16</v>
      </c>
      <c r="J95" s="11"/>
      <c r="K95" s="11"/>
      <c r="L95" s="11"/>
      <c r="M95" s="11">
        <v>1957.53</v>
      </c>
      <c r="N95" s="11">
        <v>873.3</v>
      </c>
      <c r="O95" s="11">
        <v>4486.12</v>
      </c>
      <c r="P95" s="11"/>
      <c r="Q95" s="11"/>
      <c r="R95" s="11"/>
      <c r="S95" s="11">
        <v>5000</v>
      </c>
      <c r="T95" s="11">
        <v>5000</v>
      </c>
      <c r="U95" s="11"/>
      <c r="V95" s="11"/>
      <c r="W95" s="11"/>
      <c r="X95" s="11">
        <v>5000</v>
      </c>
      <c r="Y95" s="11">
        <v>5000</v>
      </c>
      <c r="Z95" s="11"/>
      <c r="AA95" s="11"/>
      <c r="AB95" s="11">
        <f t="shared" si="16"/>
        <v>20000</v>
      </c>
    </row>
    <row r="96" spans="2:28" outlineLevel="1" collapsed="1" x14ac:dyDescent="0.3">
      <c r="B96" s="10" t="s">
        <v>96</v>
      </c>
      <c r="C96" s="11">
        <v>21021.87</v>
      </c>
      <c r="D96" s="11">
        <v>0</v>
      </c>
      <c r="E96" s="11">
        <v>0</v>
      </c>
      <c r="F96" s="11">
        <v>14295.96</v>
      </c>
      <c r="G96" s="11"/>
      <c r="H96" s="11"/>
      <c r="I96" s="11"/>
      <c r="J96" s="11"/>
      <c r="K96" s="11"/>
      <c r="L96" s="11"/>
      <c r="M96" s="11"/>
      <c r="N96" s="11"/>
      <c r="O96" s="11">
        <v>35317.83</v>
      </c>
      <c r="P96" s="11"/>
      <c r="Q96" s="19">
        <v>20000</v>
      </c>
      <c r="R96" s="19"/>
      <c r="S96" s="19"/>
      <c r="T96" s="19"/>
      <c r="U96" s="19"/>
      <c r="V96" s="19"/>
      <c r="W96" s="19"/>
      <c r="X96" s="19"/>
      <c r="Y96" s="19">
        <v>20000</v>
      </c>
      <c r="Z96" s="19"/>
      <c r="AA96" s="11"/>
      <c r="AB96" s="11">
        <f t="shared" si="16"/>
        <v>40000</v>
      </c>
    </row>
    <row r="97" spans="2:28" outlineLevel="1" collapsed="1" x14ac:dyDescent="0.3">
      <c r="B97" s="10" t="s">
        <v>97</v>
      </c>
      <c r="C97" s="11">
        <v>0</v>
      </c>
      <c r="D97" s="11">
        <v>0</v>
      </c>
      <c r="E97" s="11">
        <v>0</v>
      </c>
      <c r="F97" s="11"/>
      <c r="G97" s="11"/>
      <c r="H97" s="11"/>
      <c r="I97" s="11"/>
      <c r="J97" s="11">
        <v>33090.5</v>
      </c>
      <c r="K97" s="11"/>
      <c r="L97" s="11"/>
      <c r="M97" s="11">
        <v>10425</v>
      </c>
      <c r="N97" s="11"/>
      <c r="O97" s="11">
        <v>43515.5</v>
      </c>
      <c r="P97" s="11"/>
      <c r="Q97" s="11"/>
      <c r="R97" s="11"/>
      <c r="S97" s="11"/>
      <c r="T97" s="11">
        <v>17500</v>
      </c>
      <c r="U97" s="11"/>
      <c r="V97" s="11"/>
      <c r="W97" s="11">
        <v>17500</v>
      </c>
      <c r="X97" s="11"/>
      <c r="Y97" s="11"/>
      <c r="Z97" s="11"/>
      <c r="AA97" s="11"/>
      <c r="AB97" s="11">
        <f t="shared" si="16"/>
        <v>35000</v>
      </c>
    </row>
    <row r="98" spans="2:28" outlineLevel="1" collapsed="1" x14ac:dyDescent="0.3">
      <c r="B98" s="10" t="s">
        <v>98</v>
      </c>
      <c r="C98" s="11">
        <v>0</v>
      </c>
      <c r="D98" s="11">
        <v>0</v>
      </c>
      <c r="E98" s="11">
        <v>0</v>
      </c>
      <c r="F98" s="11"/>
      <c r="G98" s="11"/>
      <c r="H98" s="11"/>
      <c r="I98" s="11"/>
      <c r="J98" s="11"/>
      <c r="K98" s="11"/>
      <c r="L98" s="11"/>
      <c r="M98" s="11"/>
      <c r="N98" s="11"/>
      <c r="O98" s="11">
        <v>0</v>
      </c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>
        <f t="shared" si="16"/>
        <v>0</v>
      </c>
    </row>
    <row r="99" spans="2:28" outlineLevel="1" collapsed="1" x14ac:dyDescent="0.3">
      <c r="B99" s="10" t="s">
        <v>99</v>
      </c>
      <c r="C99" s="11">
        <v>0</v>
      </c>
      <c r="D99" s="11">
        <v>0</v>
      </c>
      <c r="E99" s="11">
        <v>0</v>
      </c>
      <c r="F99" s="11"/>
      <c r="G99" s="11"/>
      <c r="H99" s="11"/>
      <c r="I99" s="11"/>
      <c r="J99" s="11"/>
      <c r="K99" s="11"/>
      <c r="L99" s="11"/>
      <c r="M99" s="11"/>
      <c r="N99" s="11">
        <v>546.54999999999995</v>
      </c>
      <c r="O99" s="11">
        <v>546.54999999999995</v>
      </c>
      <c r="P99" s="11">
        <v>500</v>
      </c>
      <c r="Q99" s="11">
        <v>500</v>
      </c>
      <c r="R99" s="11">
        <v>500</v>
      </c>
      <c r="S99" s="11">
        <v>500</v>
      </c>
      <c r="T99" s="11">
        <v>500</v>
      </c>
      <c r="U99" s="11">
        <v>500</v>
      </c>
      <c r="V99" s="11">
        <v>500</v>
      </c>
      <c r="W99" s="11">
        <v>500</v>
      </c>
      <c r="X99" s="11">
        <v>500</v>
      </c>
      <c r="Y99" s="11">
        <v>500</v>
      </c>
      <c r="Z99" s="11">
        <v>500</v>
      </c>
      <c r="AA99" s="11">
        <v>500</v>
      </c>
      <c r="AB99" s="11">
        <f t="shared" si="16"/>
        <v>6000</v>
      </c>
    </row>
    <row r="100" spans="2:28" outlineLevel="1" collapsed="1" x14ac:dyDescent="0.3">
      <c r="B100" s="10" t="s">
        <v>100</v>
      </c>
      <c r="C100" s="11">
        <v>20393.75</v>
      </c>
      <c r="D100" s="11">
        <v>3692.8</v>
      </c>
      <c r="E100" s="11">
        <v>0</v>
      </c>
      <c r="F100" s="11">
        <v>12750.55</v>
      </c>
      <c r="G100" s="11">
        <v>0</v>
      </c>
      <c r="H100" s="11">
        <v>14362.09</v>
      </c>
      <c r="I100" s="11"/>
      <c r="J100" s="11"/>
      <c r="K100" s="11">
        <v>923.2</v>
      </c>
      <c r="L100" s="11">
        <v>8581</v>
      </c>
      <c r="M100" s="11">
        <v>27135.95</v>
      </c>
      <c r="N100" s="11">
        <v>6085.8</v>
      </c>
      <c r="O100" s="11">
        <v>93925.14</v>
      </c>
      <c r="P100" s="11">
        <v>8000</v>
      </c>
      <c r="Q100" s="11">
        <v>8000</v>
      </c>
      <c r="R100" s="11">
        <v>8000</v>
      </c>
      <c r="S100" s="11">
        <v>8000</v>
      </c>
      <c r="T100" s="11">
        <v>8000</v>
      </c>
      <c r="U100" s="11"/>
      <c r="V100" s="11"/>
      <c r="W100" s="11">
        <v>8000</v>
      </c>
      <c r="X100" s="11">
        <v>8000</v>
      </c>
      <c r="Y100" s="11">
        <v>8000</v>
      </c>
      <c r="Z100" s="11">
        <v>8000</v>
      </c>
      <c r="AA100" s="11">
        <v>8000</v>
      </c>
      <c r="AB100" s="11">
        <f t="shared" si="16"/>
        <v>80000</v>
      </c>
    </row>
    <row r="101" spans="2:28" outlineLevel="1" collapsed="1" x14ac:dyDescent="0.3">
      <c r="B101" s="10" t="s">
        <v>101</v>
      </c>
      <c r="C101" s="11">
        <v>0</v>
      </c>
      <c r="D101" s="11">
        <v>0</v>
      </c>
      <c r="E101" s="11">
        <v>0</v>
      </c>
      <c r="F101" s="11"/>
      <c r="G101" s="11"/>
      <c r="H101" s="11"/>
      <c r="I101" s="11">
        <v>453.9</v>
      </c>
      <c r="J101" s="11"/>
      <c r="K101" s="11"/>
      <c r="L101" s="11"/>
      <c r="M101" s="11"/>
      <c r="N101" s="11">
        <v>4050</v>
      </c>
      <c r="O101" s="11">
        <v>4503.8999999999996</v>
      </c>
      <c r="P101" s="11">
        <v>1500</v>
      </c>
      <c r="Q101" s="11">
        <v>1500</v>
      </c>
      <c r="R101" s="11">
        <v>1500</v>
      </c>
      <c r="S101" s="11">
        <v>1500</v>
      </c>
      <c r="T101" s="11">
        <v>1500</v>
      </c>
      <c r="U101" s="11"/>
      <c r="V101" s="11"/>
      <c r="W101" s="11">
        <v>1500</v>
      </c>
      <c r="X101" s="11">
        <v>1500</v>
      </c>
      <c r="Y101" s="11">
        <v>1500</v>
      </c>
      <c r="Z101" s="11">
        <v>1500</v>
      </c>
      <c r="AA101" s="11">
        <v>1500</v>
      </c>
      <c r="AB101" s="11">
        <f t="shared" si="16"/>
        <v>15000</v>
      </c>
    </row>
    <row r="102" spans="2:28" outlineLevel="1" collapsed="1" x14ac:dyDescent="0.3">
      <c r="B102" s="10" t="s">
        <v>102</v>
      </c>
      <c r="C102" s="11">
        <v>0</v>
      </c>
      <c r="D102" s="11">
        <v>1542</v>
      </c>
      <c r="E102" s="11">
        <v>0</v>
      </c>
      <c r="F102" s="11"/>
      <c r="G102" s="11"/>
      <c r="H102" s="11"/>
      <c r="I102" s="11"/>
      <c r="J102" s="11"/>
      <c r="K102" s="11">
        <v>1919.7</v>
      </c>
      <c r="L102" s="11"/>
      <c r="M102" s="11"/>
      <c r="N102" s="11"/>
      <c r="O102" s="11">
        <v>3461.7</v>
      </c>
      <c r="P102" s="11"/>
      <c r="Q102" s="11"/>
      <c r="R102" s="11"/>
      <c r="S102" s="11"/>
      <c r="T102" s="11">
        <v>42500</v>
      </c>
      <c r="U102" s="11"/>
      <c r="V102" s="11"/>
      <c r="W102" s="11">
        <v>2500</v>
      </c>
      <c r="X102" s="11"/>
      <c r="Y102" s="11"/>
      <c r="Z102" s="11"/>
      <c r="AA102" s="11"/>
      <c r="AB102" s="11">
        <f t="shared" si="16"/>
        <v>45000</v>
      </c>
    </row>
    <row r="103" spans="2:28" outlineLevel="1" collapsed="1" x14ac:dyDescent="0.3">
      <c r="B103" s="10" t="s">
        <v>103</v>
      </c>
      <c r="C103" s="11">
        <v>9937.7199999999993</v>
      </c>
      <c r="D103" s="11">
        <v>0</v>
      </c>
      <c r="E103" s="11">
        <v>3638.21</v>
      </c>
      <c r="F103" s="11">
        <v>15951.16</v>
      </c>
      <c r="G103" s="11">
        <v>6842.06</v>
      </c>
      <c r="H103" s="11"/>
      <c r="I103" s="11"/>
      <c r="J103" s="11"/>
      <c r="K103" s="11"/>
      <c r="L103" s="11"/>
      <c r="M103" s="11"/>
      <c r="N103" s="11"/>
      <c r="O103" s="11">
        <v>36369.15</v>
      </c>
      <c r="P103" s="11">
        <v>6000</v>
      </c>
      <c r="Q103" s="11">
        <v>5000</v>
      </c>
      <c r="R103" s="11">
        <v>5000</v>
      </c>
      <c r="S103" s="11">
        <v>5000</v>
      </c>
      <c r="T103" s="11">
        <v>5000</v>
      </c>
      <c r="U103" s="11"/>
      <c r="V103" s="11"/>
      <c r="W103" s="11">
        <v>5000</v>
      </c>
      <c r="X103" s="11">
        <v>5000</v>
      </c>
      <c r="Y103" s="11">
        <v>5000</v>
      </c>
      <c r="Z103" s="11">
        <v>5000</v>
      </c>
      <c r="AA103" s="11">
        <v>6000</v>
      </c>
      <c r="AB103" s="11">
        <f t="shared" si="16"/>
        <v>52000</v>
      </c>
    </row>
    <row r="104" spans="2:28" outlineLevel="1" collapsed="1" x14ac:dyDescent="0.3">
      <c r="B104" s="10" t="s">
        <v>104</v>
      </c>
      <c r="C104" s="11">
        <v>0</v>
      </c>
      <c r="D104" s="11">
        <v>0</v>
      </c>
      <c r="E104" s="11">
        <v>0</v>
      </c>
      <c r="F104" s="11"/>
      <c r="G104" s="11"/>
      <c r="H104" s="11"/>
      <c r="I104" s="11"/>
      <c r="J104" s="11"/>
      <c r="K104" s="11">
        <v>20092.27</v>
      </c>
      <c r="L104" s="11"/>
      <c r="M104" s="11"/>
      <c r="N104" s="11"/>
      <c r="O104" s="11">
        <v>20092.27</v>
      </c>
      <c r="P104" s="11"/>
      <c r="Q104" s="11"/>
      <c r="R104" s="11"/>
      <c r="S104" s="11">
        <v>20000</v>
      </c>
      <c r="T104" s="11"/>
      <c r="U104" s="11"/>
      <c r="V104" s="11"/>
      <c r="W104" s="11"/>
      <c r="X104" s="11"/>
      <c r="Y104" s="11">
        <v>20000</v>
      </c>
      <c r="Z104" s="11"/>
      <c r="AA104" s="11"/>
      <c r="AB104" s="11">
        <f t="shared" si="16"/>
        <v>40000</v>
      </c>
    </row>
    <row r="105" spans="2:28" outlineLevel="1" collapsed="1" x14ac:dyDescent="0.3">
      <c r="B105" s="10" t="s">
        <v>105</v>
      </c>
      <c r="C105" s="11">
        <v>0</v>
      </c>
      <c r="D105" s="11">
        <v>8404.2800000000007</v>
      </c>
      <c r="E105" s="11">
        <v>0</v>
      </c>
      <c r="F105" s="11">
        <v>1110.58</v>
      </c>
      <c r="G105" s="11">
        <v>1850.88</v>
      </c>
      <c r="H105" s="11"/>
      <c r="I105" s="11">
        <v>799.8</v>
      </c>
      <c r="J105" s="11">
        <v>9370.0400000000009</v>
      </c>
      <c r="K105" s="11">
        <v>346.05</v>
      </c>
      <c r="L105" s="11"/>
      <c r="M105" s="11"/>
      <c r="N105" s="11"/>
      <c r="O105" s="11">
        <v>21881.63</v>
      </c>
      <c r="P105" s="11">
        <v>2000</v>
      </c>
      <c r="Q105" s="11">
        <v>2000</v>
      </c>
      <c r="R105" s="11">
        <v>2000</v>
      </c>
      <c r="S105" s="11">
        <v>2000</v>
      </c>
      <c r="T105" s="11">
        <v>2000</v>
      </c>
      <c r="U105" s="11"/>
      <c r="V105" s="11"/>
      <c r="W105" s="11">
        <v>2000</v>
      </c>
      <c r="X105" s="11">
        <v>2000</v>
      </c>
      <c r="Y105" s="11">
        <v>2000</v>
      </c>
      <c r="Z105" s="11">
        <v>2000</v>
      </c>
      <c r="AA105" s="11">
        <v>2000</v>
      </c>
      <c r="AB105" s="11">
        <f t="shared" si="16"/>
        <v>20000</v>
      </c>
    </row>
    <row r="106" spans="2:28" outlineLevel="1" collapsed="1" x14ac:dyDescent="0.3">
      <c r="B106" s="10" t="s">
        <v>106</v>
      </c>
      <c r="C106" s="11">
        <v>0</v>
      </c>
      <c r="D106" s="11">
        <v>0</v>
      </c>
      <c r="E106" s="11">
        <v>0</v>
      </c>
      <c r="F106" s="11"/>
      <c r="G106" s="11">
        <v>35360</v>
      </c>
      <c r="H106" s="11">
        <v>30000</v>
      </c>
      <c r="I106" s="11">
        <v>18000</v>
      </c>
      <c r="J106" s="11"/>
      <c r="K106" s="11">
        <v>7735</v>
      </c>
      <c r="L106" s="11"/>
      <c r="M106" s="11"/>
      <c r="N106" s="11"/>
      <c r="O106" s="11">
        <v>91095</v>
      </c>
      <c r="P106" s="11"/>
      <c r="Q106" s="11">
        <v>40000</v>
      </c>
      <c r="R106" s="11">
        <v>30000</v>
      </c>
      <c r="S106" s="11">
        <v>20000</v>
      </c>
      <c r="T106" s="11"/>
      <c r="U106" s="11">
        <v>10000</v>
      </c>
      <c r="V106" s="11"/>
      <c r="W106" s="11"/>
      <c r="X106" s="11"/>
      <c r="Y106" s="11"/>
      <c r="Z106" s="11"/>
      <c r="AA106" s="11"/>
      <c r="AB106" s="11">
        <f t="shared" si="16"/>
        <v>100000</v>
      </c>
    </row>
    <row r="107" spans="2:28" outlineLevel="1" collapsed="1" x14ac:dyDescent="0.3">
      <c r="B107" s="10" t="s">
        <v>107</v>
      </c>
      <c r="C107" s="11">
        <v>0</v>
      </c>
      <c r="D107" s="11">
        <v>0</v>
      </c>
      <c r="E107" s="11">
        <v>0</v>
      </c>
      <c r="F107" s="11"/>
      <c r="G107" s="11">
        <v>19191</v>
      </c>
      <c r="H107" s="11">
        <v>36633.51</v>
      </c>
      <c r="I107" s="11">
        <v>25309</v>
      </c>
      <c r="J107" s="11">
        <v>46468.01</v>
      </c>
      <c r="K107" s="11">
        <v>29503.5</v>
      </c>
      <c r="L107" s="11">
        <v>20692.5</v>
      </c>
      <c r="M107" s="11">
        <v>52913.48</v>
      </c>
      <c r="N107" s="11">
        <v>49172.5</v>
      </c>
      <c r="O107" s="11">
        <v>279883.5</v>
      </c>
      <c r="P107" s="11">
        <v>35000</v>
      </c>
      <c r="Q107" s="11">
        <v>35000</v>
      </c>
      <c r="R107" s="11">
        <v>35000</v>
      </c>
      <c r="S107" s="11">
        <v>35000</v>
      </c>
      <c r="T107" s="11">
        <v>30000</v>
      </c>
      <c r="U107" s="11">
        <v>30000</v>
      </c>
      <c r="V107" s="11">
        <v>30000</v>
      </c>
      <c r="W107" s="11">
        <v>30000</v>
      </c>
      <c r="X107" s="11">
        <v>35000</v>
      </c>
      <c r="Y107" s="11">
        <v>35000</v>
      </c>
      <c r="Z107" s="11">
        <v>35000</v>
      </c>
      <c r="AA107" s="11">
        <v>35000</v>
      </c>
      <c r="AB107" s="11">
        <f t="shared" si="16"/>
        <v>400000</v>
      </c>
    </row>
    <row r="108" spans="2:28" outlineLevel="1" collapsed="1" x14ac:dyDescent="0.3">
      <c r="B108" s="10" t="s">
        <v>108</v>
      </c>
      <c r="C108" s="11">
        <v>0</v>
      </c>
      <c r="D108" s="11">
        <v>0</v>
      </c>
      <c r="E108" s="11">
        <v>3172.5</v>
      </c>
      <c r="F108" s="11">
        <v>1360</v>
      </c>
      <c r="G108" s="11"/>
      <c r="H108" s="11"/>
      <c r="I108" s="11"/>
      <c r="J108" s="11"/>
      <c r="K108" s="11"/>
      <c r="L108" s="11"/>
      <c r="M108" s="11"/>
      <c r="N108" s="11"/>
      <c r="O108" s="11">
        <v>4532.5</v>
      </c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>
        <f t="shared" si="16"/>
        <v>0</v>
      </c>
    </row>
    <row r="109" spans="2:28" outlineLevel="1" collapsed="1" x14ac:dyDescent="0.3">
      <c r="B109" s="10" t="s">
        <v>109</v>
      </c>
      <c r="C109" s="11">
        <v>0</v>
      </c>
      <c r="D109" s="11">
        <v>0</v>
      </c>
      <c r="E109" s="11">
        <v>0</v>
      </c>
      <c r="F109" s="11"/>
      <c r="G109" s="11"/>
      <c r="H109" s="11"/>
      <c r="I109" s="11"/>
      <c r="J109" s="11"/>
      <c r="K109" s="11"/>
      <c r="L109" s="11"/>
      <c r="M109" s="11"/>
      <c r="N109" s="11"/>
      <c r="O109" s="11">
        <v>0</v>
      </c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>
        <f t="shared" si="16"/>
        <v>0</v>
      </c>
    </row>
    <row r="110" spans="2:28" outlineLevel="1" collapsed="1" x14ac:dyDescent="0.3">
      <c r="B110" s="10" t="s">
        <v>110</v>
      </c>
      <c r="C110" s="11">
        <v>0</v>
      </c>
      <c r="D110" s="11">
        <v>0</v>
      </c>
      <c r="E110" s="11">
        <v>0</v>
      </c>
      <c r="F110" s="11"/>
      <c r="G110" s="11">
        <v>1390</v>
      </c>
      <c r="H110" s="11"/>
      <c r="I110" s="11"/>
      <c r="J110" s="11">
        <v>1751</v>
      </c>
      <c r="K110" s="11"/>
      <c r="L110" s="11"/>
      <c r="M110" s="11"/>
      <c r="N110" s="11">
        <v>299</v>
      </c>
      <c r="O110" s="11">
        <v>3440</v>
      </c>
      <c r="P110" s="11">
        <v>500</v>
      </c>
      <c r="Q110" s="11">
        <v>500</v>
      </c>
      <c r="R110" s="11">
        <v>500</v>
      </c>
      <c r="S110" s="11">
        <v>500</v>
      </c>
      <c r="T110" s="11">
        <v>500</v>
      </c>
      <c r="U110" s="11"/>
      <c r="V110" s="11"/>
      <c r="W110" s="11">
        <v>500</v>
      </c>
      <c r="X110" s="11">
        <v>500</v>
      </c>
      <c r="Y110" s="11">
        <v>500</v>
      </c>
      <c r="Z110" s="11">
        <v>500</v>
      </c>
      <c r="AA110" s="11">
        <v>500</v>
      </c>
      <c r="AB110" s="11">
        <f t="shared" si="16"/>
        <v>5000</v>
      </c>
    </row>
    <row r="111" spans="2:28" outlineLevel="1" collapsed="1" x14ac:dyDescent="0.3">
      <c r="B111" s="10" t="s">
        <v>111</v>
      </c>
      <c r="C111" s="11">
        <v>330</v>
      </c>
      <c r="D111" s="11">
        <v>171</v>
      </c>
      <c r="E111" s="11">
        <v>249</v>
      </c>
      <c r="F111" s="11">
        <v>13639</v>
      </c>
      <c r="G111" s="11">
        <v>885</v>
      </c>
      <c r="H111" s="11"/>
      <c r="I111" s="11"/>
      <c r="J111" s="11">
        <v>3125</v>
      </c>
      <c r="K111" s="11"/>
      <c r="L111" s="11"/>
      <c r="M111" s="11"/>
      <c r="N111" s="11">
        <v>7995</v>
      </c>
      <c r="O111" s="11">
        <v>26394</v>
      </c>
      <c r="P111" s="11">
        <v>15000</v>
      </c>
      <c r="Q111" s="11">
        <v>1000</v>
      </c>
      <c r="R111" s="11">
        <v>1000</v>
      </c>
      <c r="S111" s="11">
        <v>1000</v>
      </c>
      <c r="T111" s="11">
        <v>4000</v>
      </c>
      <c r="U111" s="11">
        <v>1000</v>
      </c>
      <c r="V111" s="11">
        <v>1000</v>
      </c>
      <c r="W111" s="11">
        <v>1000</v>
      </c>
      <c r="X111" s="11">
        <v>1000</v>
      </c>
      <c r="Y111" s="11">
        <v>1000</v>
      </c>
      <c r="Z111" s="11">
        <v>1000</v>
      </c>
      <c r="AA111" s="11">
        <v>1000</v>
      </c>
      <c r="AB111" s="11">
        <f t="shared" si="16"/>
        <v>29000</v>
      </c>
    </row>
    <row r="112" spans="2:28" outlineLevel="1" collapsed="1" x14ac:dyDescent="0.3">
      <c r="B112" s="10" t="s">
        <v>112</v>
      </c>
      <c r="C112" s="11">
        <v>0</v>
      </c>
      <c r="D112" s="11">
        <v>0</v>
      </c>
      <c r="E112" s="11">
        <v>0</v>
      </c>
      <c r="F112" s="11"/>
      <c r="G112" s="11"/>
      <c r="H112" s="11"/>
      <c r="I112" s="11"/>
      <c r="J112" s="11"/>
      <c r="K112" s="11"/>
      <c r="L112" s="11"/>
      <c r="M112" s="11"/>
      <c r="N112" s="11"/>
      <c r="O112" s="11">
        <v>0</v>
      </c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>
        <f t="shared" si="16"/>
        <v>0</v>
      </c>
    </row>
    <row r="113" spans="2:28" outlineLevel="1" collapsed="1" x14ac:dyDescent="0.3">
      <c r="B113" s="10" t="s">
        <v>113</v>
      </c>
      <c r="C113" s="11">
        <v>0</v>
      </c>
      <c r="D113" s="11">
        <v>0</v>
      </c>
      <c r="E113" s="11">
        <v>2314</v>
      </c>
      <c r="F113" s="11"/>
      <c r="G113" s="11"/>
      <c r="H113" s="11">
        <v>787.5</v>
      </c>
      <c r="I113" s="11"/>
      <c r="J113" s="11"/>
      <c r="K113" s="11"/>
      <c r="L113" s="11"/>
      <c r="M113" s="11"/>
      <c r="N113" s="11"/>
      <c r="O113" s="11">
        <v>3101.5</v>
      </c>
      <c r="P113" s="11">
        <v>2500</v>
      </c>
      <c r="Q113" s="11">
        <v>1000</v>
      </c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>
        <f t="shared" si="16"/>
        <v>3500</v>
      </c>
    </row>
    <row r="114" spans="2:28" outlineLevel="1" collapsed="1" x14ac:dyDescent="0.3">
      <c r="B114" s="10" t="s">
        <v>114</v>
      </c>
      <c r="C114" s="11">
        <v>0</v>
      </c>
      <c r="D114" s="11">
        <v>0</v>
      </c>
      <c r="E114" s="11">
        <v>0</v>
      </c>
      <c r="F114" s="11"/>
      <c r="G114" s="11"/>
      <c r="H114" s="11"/>
      <c r="I114" s="11"/>
      <c r="J114" s="11"/>
      <c r="K114" s="11"/>
      <c r="L114" s="11">
        <v>1500</v>
      </c>
      <c r="M114" s="11"/>
      <c r="N114" s="11"/>
      <c r="O114" s="11">
        <v>1500</v>
      </c>
      <c r="P114" s="11">
        <v>500</v>
      </c>
      <c r="Q114" s="11">
        <v>500</v>
      </c>
      <c r="R114" s="11">
        <v>500</v>
      </c>
      <c r="S114" s="11">
        <v>500</v>
      </c>
      <c r="T114" s="11">
        <v>500</v>
      </c>
      <c r="U114" s="11"/>
      <c r="V114" s="11"/>
      <c r="W114" s="11">
        <v>500</v>
      </c>
      <c r="X114" s="11">
        <v>500</v>
      </c>
      <c r="Y114" s="11">
        <v>500</v>
      </c>
      <c r="Z114" s="11">
        <v>500</v>
      </c>
      <c r="AA114" s="11">
        <v>500</v>
      </c>
      <c r="AB114" s="11">
        <f t="shared" si="16"/>
        <v>5000</v>
      </c>
    </row>
    <row r="115" spans="2:28" outlineLevel="1" collapsed="1" x14ac:dyDescent="0.3">
      <c r="B115" s="10" t="s">
        <v>115</v>
      </c>
      <c r="C115" s="11">
        <v>0</v>
      </c>
      <c r="D115" s="11">
        <v>0</v>
      </c>
      <c r="E115" s="11">
        <v>0</v>
      </c>
      <c r="F115" s="11"/>
      <c r="G115" s="11"/>
      <c r="H115" s="11"/>
      <c r="I115" s="11"/>
      <c r="J115" s="11"/>
      <c r="K115" s="11"/>
      <c r="L115" s="11">
        <v>2267.13</v>
      </c>
      <c r="M115" s="11"/>
      <c r="N115" s="11"/>
      <c r="O115" s="11">
        <v>2267.13</v>
      </c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>
        <f t="shared" si="16"/>
        <v>0</v>
      </c>
    </row>
    <row r="116" spans="2:28" outlineLevel="1" collapsed="1" x14ac:dyDescent="0.3">
      <c r="B116" s="10" t="s">
        <v>116</v>
      </c>
      <c r="C116" s="11">
        <v>0</v>
      </c>
      <c r="D116" s="11">
        <v>0</v>
      </c>
      <c r="E116" s="11">
        <v>-62</v>
      </c>
      <c r="F116" s="11">
        <v>-262</v>
      </c>
      <c r="G116" s="11"/>
      <c r="H116" s="11"/>
      <c r="I116" s="11"/>
      <c r="J116" s="11"/>
      <c r="K116" s="11"/>
      <c r="L116" s="11"/>
      <c r="M116" s="11"/>
      <c r="N116" s="11"/>
      <c r="O116" s="11">
        <v>-324</v>
      </c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>
        <f t="shared" si="16"/>
        <v>0</v>
      </c>
    </row>
    <row r="117" spans="2:28" outlineLevel="1" collapsed="1" x14ac:dyDescent="0.3">
      <c r="B117" s="10" t="s">
        <v>117</v>
      </c>
      <c r="C117" s="11">
        <v>489</v>
      </c>
      <c r="D117" s="11">
        <v>489</v>
      </c>
      <c r="E117" s="11">
        <v>490.07</v>
      </c>
      <c r="F117" s="11">
        <v>491.99</v>
      </c>
      <c r="G117" s="11">
        <v>490</v>
      </c>
      <c r="H117" s="11">
        <v>489</v>
      </c>
      <c r="I117" s="11">
        <v>489</v>
      </c>
      <c r="J117" s="11">
        <v>607.07000000000005</v>
      </c>
      <c r="K117" s="11">
        <v>646.99</v>
      </c>
      <c r="L117" s="11">
        <v>1547.41</v>
      </c>
      <c r="M117" s="11">
        <v>2268.4299999999998</v>
      </c>
      <c r="N117" s="11">
        <v>3443.73</v>
      </c>
      <c r="O117" s="11">
        <v>11941.689999999999</v>
      </c>
      <c r="P117" s="11">
        <v>1200</v>
      </c>
      <c r="Q117" s="11">
        <v>1200</v>
      </c>
      <c r="R117" s="11">
        <v>1200</v>
      </c>
      <c r="S117" s="11">
        <v>1200</v>
      </c>
      <c r="T117" s="11">
        <v>1200</v>
      </c>
      <c r="U117" s="11">
        <v>1200</v>
      </c>
      <c r="V117" s="11">
        <v>1200</v>
      </c>
      <c r="W117" s="11">
        <v>1200</v>
      </c>
      <c r="X117" s="11">
        <v>1200</v>
      </c>
      <c r="Y117" s="11">
        <v>1200</v>
      </c>
      <c r="Z117" s="11">
        <v>1200</v>
      </c>
      <c r="AA117" s="11">
        <v>1200</v>
      </c>
      <c r="AB117" s="11">
        <f t="shared" si="16"/>
        <v>14400</v>
      </c>
    </row>
    <row r="118" spans="2:28" outlineLevel="1" collapsed="1" x14ac:dyDescent="0.3">
      <c r="B118" s="10" t="s">
        <v>118</v>
      </c>
      <c r="C118" s="11">
        <v>299</v>
      </c>
      <c r="D118" s="11">
        <v>299</v>
      </c>
      <c r="E118" s="11">
        <v>334</v>
      </c>
      <c r="F118" s="11">
        <v>299</v>
      </c>
      <c r="G118" s="11">
        <v>299</v>
      </c>
      <c r="H118" s="11">
        <v>299</v>
      </c>
      <c r="I118" s="11">
        <v>299</v>
      </c>
      <c r="J118" s="11">
        <v>299</v>
      </c>
      <c r="K118" s="11">
        <v>299</v>
      </c>
      <c r="L118" s="11"/>
      <c r="M118" s="11"/>
      <c r="N118" s="11"/>
      <c r="O118" s="11">
        <v>2726</v>
      </c>
      <c r="P118" s="11">
        <v>300</v>
      </c>
      <c r="Q118" s="11">
        <v>300</v>
      </c>
      <c r="R118" s="11">
        <v>300</v>
      </c>
      <c r="S118" s="11">
        <v>300</v>
      </c>
      <c r="T118" s="11">
        <v>300</v>
      </c>
      <c r="U118" s="11">
        <v>300</v>
      </c>
      <c r="V118" s="11">
        <v>300</v>
      </c>
      <c r="W118" s="11">
        <v>300</v>
      </c>
      <c r="X118" s="11">
        <v>300</v>
      </c>
      <c r="Y118" s="11">
        <v>300</v>
      </c>
      <c r="Z118" s="11">
        <v>300</v>
      </c>
      <c r="AA118" s="11">
        <v>300</v>
      </c>
      <c r="AB118" s="11">
        <f t="shared" si="16"/>
        <v>3600</v>
      </c>
    </row>
    <row r="119" spans="2:28" outlineLevel="1" collapsed="1" x14ac:dyDescent="0.3">
      <c r="B119" s="10" t="s">
        <v>119</v>
      </c>
      <c r="C119" s="11">
        <v>0</v>
      </c>
      <c r="D119" s="11">
        <v>0</v>
      </c>
      <c r="E119" s="11">
        <v>0</v>
      </c>
      <c r="F119" s="11"/>
      <c r="G119" s="11"/>
      <c r="H119" s="11"/>
      <c r="I119" s="11"/>
      <c r="J119" s="11"/>
      <c r="K119" s="11"/>
      <c r="L119" s="11"/>
      <c r="M119" s="11"/>
      <c r="N119" s="11"/>
      <c r="O119" s="11">
        <v>0</v>
      </c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>
        <f t="shared" si="16"/>
        <v>0</v>
      </c>
    </row>
    <row r="120" spans="2:28" x14ac:dyDescent="0.3">
      <c r="B120" s="8" t="s">
        <v>13</v>
      </c>
      <c r="C120" s="9">
        <v>10874.45</v>
      </c>
      <c r="D120" s="9">
        <v>899.1</v>
      </c>
      <c r="E120" s="9">
        <v>1232.26</v>
      </c>
      <c r="F120" s="9">
        <v>2224.23</v>
      </c>
      <c r="G120" s="9">
        <v>1460.7</v>
      </c>
      <c r="H120" s="9">
        <v>0</v>
      </c>
      <c r="I120" s="9">
        <v>2323.5</v>
      </c>
      <c r="J120" s="9">
        <v>2121.5500000000002</v>
      </c>
      <c r="K120" s="9">
        <v>5521.08</v>
      </c>
      <c r="L120" s="9">
        <v>0</v>
      </c>
      <c r="M120" s="9">
        <v>3516.57</v>
      </c>
      <c r="N120" s="9">
        <v>3530.86</v>
      </c>
      <c r="O120" s="9">
        <v>33704.300000000003</v>
      </c>
      <c r="P120" s="9">
        <f>SUM(P121:P126)</f>
        <v>1800</v>
      </c>
      <c r="Q120" s="9">
        <f t="shared" ref="Q120:AA120" si="17">SUM(Q121:Q126)</f>
        <v>1800</v>
      </c>
      <c r="R120" s="9">
        <f t="shared" si="17"/>
        <v>1800</v>
      </c>
      <c r="S120" s="9">
        <f t="shared" si="17"/>
        <v>2800</v>
      </c>
      <c r="T120" s="9">
        <f t="shared" si="17"/>
        <v>1800</v>
      </c>
      <c r="U120" s="9">
        <f t="shared" si="17"/>
        <v>1800</v>
      </c>
      <c r="V120" s="9">
        <f t="shared" si="17"/>
        <v>1800</v>
      </c>
      <c r="W120" s="9">
        <f t="shared" si="17"/>
        <v>1800</v>
      </c>
      <c r="X120" s="9">
        <f t="shared" si="17"/>
        <v>9800</v>
      </c>
      <c r="Y120" s="9">
        <f t="shared" si="17"/>
        <v>1800</v>
      </c>
      <c r="Z120" s="9">
        <f t="shared" si="17"/>
        <v>1800</v>
      </c>
      <c r="AA120" s="9">
        <f t="shared" si="17"/>
        <v>1800</v>
      </c>
      <c r="AB120" s="9">
        <f t="shared" si="16"/>
        <v>30600</v>
      </c>
    </row>
    <row r="121" spans="2:28" outlineLevel="1" x14ac:dyDescent="0.3">
      <c r="B121" s="10" t="s">
        <v>120</v>
      </c>
      <c r="C121" s="11">
        <v>0</v>
      </c>
      <c r="D121" s="11">
        <v>0</v>
      </c>
      <c r="E121" s="11">
        <v>1232.26</v>
      </c>
      <c r="F121" s="11">
        <v>2224.23</v>
      </c>
      <c r="G121" s="11">
        <v>1460.7</v>
      </c>
      <c r="H121" s="11"/>
      <c r="I121" s="11">
        <v>1723.05</v>
      </c>
      <c r="J121" s="11">
        <v>2121.5500000000002</v>
      </c>
      <c r="K121" s="11">
        <v>4021.08</v>
      </c>
      <c r="L121" s="11"/>
      <c r="M121" s="11">
        <v>3516.57</v>
      </c>
      <c r="N121" s="11">
        <v>3263.86</v>
      </c>
      <c r="O121" s="11">
        <v>19563.3</v>
      </c>
      <c r="P121" s="19">
        <v>1800</v>
      </c>
      <c r="Q121" s="19">
        <v>1800</v>
      </c>
      <c r="R121" s="19">
        <v>1800</v>
      </c>
      <c r="S121" s="19">
        <v>1800</v>
      </c>
      <c r="T121" s="19">
        <v>1800</v>
      </c>
      <c r="U121" s="19">
        <v>1800</v>
      </c>
      <c r="V121" s="19">
        <v>1800</v>
      </c>
      <c r="W121" s="19">
        <v>1800</v>
      </c>
      <c r="X121" s="19">
        <v>1800</v>
      </c>
      <c r="Y121" s="19">
        <v>1800</v>
      </c>
      <c r="Z121" s="19">
        <v>1800</v>
      </c>
      <c r="AA121" s="19">
        <v>1800</v>
      </c>
      <c r="AB121" s="11">
        <f t="shared" si="16"/>
        <v>21600</v>
      </c>
    </row>
    <row r="122" spans="2:28" outlineLevel="1" collapsed="1" x14ac:dyDescent="0.3">
      <c r="B122" s="10" t="s">
        <v>121</v>
      </c>
      <c r="C122" s="11">
        <v>0</v>
      </c>
      <c r="D122" s="11">
        <v>0</v>
      </c>
      <c r="E122" s="11">
        <v>0</v>
      </c>
      <c r="F122" s="11"/>
      <c r="G122" s="11"/>
      <c r="H122" s="11"/>
      <c r="I122" s="11"/>
      <c r="J122" s="11"/>
      <c r="K122" s="11">
        <v>1500</v>
      </c>
      <c r="L122" s="11"/>
      <c r="M122" s="11"/>
      <c r="N122" s="11"/>
      <c r="O122" s="11">
        <v>1500</v>
      </c>
      <c r="P122" s="11"/>
      <c r="Q122" s="11"/>
      <c r="R122" s="11"/>
      <c r="S122" s="11">
        <v>1000</v>
      </c>
      <c r="T122" s="11"/>
      <c r="U122" s="11"/>
      <c r="V122" s="11"/>
      <c r="W122" s="11"/>
      <c r="X122" s="11"/>
      <c r="Y122" s="11"/>
      <c r="Z122" s="11"/>
      <c r="AA122" s="11"/>
      <c r="AB122" s="11">
        <f t="shared" si="16"/>
        <v>1000</v>
      </c>
    </row>
    <row r="123" spans="2:28" outlineLevel="1" collapsed="1" x14ac:dyDescent="0.3">
      <c r="B123" s="10" t="s">
        <v>122</v>
      </c>
      <c r="C123" s="11">
        <v>0</v>
      </c>
      <c r="D123" s="11">
        <v>899.1</v>
      </c>
      <c r="E123" s="11">
        <v>0</v>
      </c>
      <c r="F123" s="11"/>
      <c r="G123" s="11"/>
      <c r="H123" s="11"/>
      <c r="I123" s="11"/>
      <c r="J123" s="11"/>
      <c r="K123" s="11"/>
      <c r="L123" s="11"/>
      <c r="M123" s="11"/>
      <c r="N123" s="11"/>
      <c r="O123" s="11">
        <v>899.1</v>
      </c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>
        <f t="shared" si="16"/>
        <v>0</v>
      </c>
    </row>
    <row r="124" spans="2:28" outlineLevel="1" collapsed="1" x14ac:dyDescent="0.3">
      <c r="B124" s="10" t="s">
        <v>123</v>
      </c>
      <c r="C124" s="11">
        <v>0</v>
      </c>
      <c r="D124" s="11">
        <v>0</v>
      </c>
      <c r="E124" s="11">
        <v>0</v>
      </c>
      <c r="F124" s="11"/>
      <c r="G124" s="11"/>
      <c r="H124" s="11"/>
      <c r="I124" s="11"/>
      <c r="J124" s="11"/>
      <c r="K124" s="11"/>
      <c r="L124" s="11"/>
      <c r="M124" s="11"/>
      <c r="N124" s="11">
        <v>267</v>
      </c>
      <c r="O124" s="11">
        <v>267</v>
      </c>
      <c r="P124" s="11"/>
      <c r="Q124" s="11"/>
      <c r="R124" s="11"/>
      <c r="S124" s="11"/>
      <c r="T124" s="11"/>
      <c r="U124" s="11"/>
      <c r="V124" s="11"/>
      <c r="W124" s="11"/>
      <c r="X124" s="11">
        <v>8000</v>
      </c>
      <c r="Y124" s="11"/>
      <c r="Z124" s="11"/>
      <c r="AA124" s="11"/>
      <c r="AB124" s="11">
        <f t="shared" si="16"/>
        <v>8000</v>
      </c>
    </row>
    <row r="125" spans="2:28" outlineLevel="1" collapsed="1" x14ac:dyDescent="0.3">
      <c r="B125" s="10" t="s">
        <v>124</v>
      </c>
      <c r="C125" s="11">
        <v>0</v>
      </c>
      <c r="D125" s="11">
        <v>0</v>
      </c>
      <c r="E125" s="11">
        <v>0</v>
      </c>
      <c r="F125" s="11"/>
      <c r="G125" s="11"/>
      <c r="H125" s="11"/>
      <c r="I125" s="11"/>
      <c r="J125" s="11"/>
      <c r="K125" s="11"/>
      <c r="L125" s="11"/>
      <c r="M125" s="11"/>
      <c r="N125" s="11"/>
      <c r="O125" s="11">
        <v>0</v>
      </c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>
        <f t="shared" si="16"/>
        <v>0</v>
      </c>
    </row>
    <row r="126" spans="2:28" outlineLevel="1" collapsed="1" x14ac:dyDescent="0.3">
      <c r="B126" s="10" t="s">
        <v>125</v>
      </c>
      <c r="C126" s="11">
        <v>10874.45</v>
      </c>
      <c r="D126" s="11">
        <v>0</v>
      </c>
      <c r="E126" s="11">
        <v>0</v>
      </c>
      <c r="F126" s="11"/>
      <c r="G126" s="11"/>
      <c r="H126" s="11"/>
      <c r="I126" s="11">
        <v>600.45000000000005</v>
      </c>
      <c r="J126" s="11"/>
      <c r="K126" s="11"/>
      <c r="L126" s="11"/>
      <c r="M126" s="11"/>
      <c r="N126" s="11"/>
      <c r="O126" s="11">
        <v>11474.900000000001</v>
      </c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>
        <f t="shared" si="16"/>
        <v>0</v>
      </c>
    </row>
    <row r="127" spans="2:28" x14ac:dyDescent="0.3">
      <c r="B127" s="8" t="s">
        <v>14</v>
      </c>
      <c r="C127" s="9"/>
      <c r="D127" s="9"/>
      <c r="E127" s="9"/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>
        <f t="shared" si="16"/>
        <v>0</v>
      </c>
    </row>
    <row r="128" spans="2:28" collapsed="1" x14ac:dyDescent="0.3">
      <c r="B128" s="8" t="s">
        <v>15</v>
      </c>
      <c r="C128" s="9">
        <v>0</v>
      </c>
      <c r="D128" s="9">
        <v>0</v>
      </c>
      <c r="E128" s="9">
        <v>15574</v>
      </c>
      <c r="F128" s="9">
        <v>0</v>
      </c>
      <c r="G128" s="9">
        <v>25975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41549</v>
      </c>
      <c r="P128" s="9">
        <f>P129</f>
        <v>0</v>
      </c>
      <c r="Q128" s="9">
        <f t="shared" ref="Q128:AA128" si="18">Q129</f>
        <v>0</v>
      </c>
      <c r="R128" s="9">
        <f t="shared" si="18"/>
        <v>0</v>
      </c>
      <c r="S128" s="9">
        <f t="shared" si="18"/>
        <v>0</v>
      </c>
      <c r="T128" s="9">
        <f t="shared" si="18"/>
        <v>0</v>
      </c>
      <c r="U128" s="9">
        <f t="shared" si="18"/>
        <v>0</v>
      </c>
      <c r="V128" s="9">
        <f t="shared" si="18"/>
        <v>0</v>
      </c>
      <c r="W128" s="9">
        <f t="shared" si="18"/>
        <v>0</v>
      </c>
      <c r="X128" s="9">
        <f t="shared" si="18"/>
        <v>0</v>
      </c>
      <c r="Y128" s="9">
        <f t="shared" si="18"/>
        <v>0</v>
      </c>
      <c r="Z128" s="9">
        <f t="shared" si="18"/>
        <v>0</v>
      </c>
      <c r="AA128" s="9">
        <f t="shared" si="18"/>
        <v>0</v>
      </c>
      <c r="AB128" s="9">
        <f t="shared" si="16"/>
        <v>0</v>
      </c>
    </row>
    <row r="129" spans="2:28" outlineLevel="1" x14ac:dyDescent="0.3">
      <c r="B129" s="10" t="s">
        <v>126</v>
      </c>
      <c r="C129" s="11">
        <v>0</v>
      </c>
      <c r="D129" s="11">
        <v>0</v>
      </c>
      <c r="E129" s="11">
        <v>15574</v>
      </c>
      <c r="F129" s="11"/>
      <c r="G129" s="11">
        <v>25975</v>
      </c>
      <c r="H129" s="11"/>
      <c r="I129" s="11"/>
      <c r="J129" s="11"/>
      <c r="K129" s="11"/>
      <c r="L129" s="11"/>
      <c r="M129" s="11"/>
      <c r="N129" s="11"/>
      <c r="O129" s="11">
        <v>41549</v>
      </c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>
        <f t="shared" si="16"/>
        <v>0</v>
      </c>
    </row>
    <row r="130" spans="2:28" x14ac:dyDescent="0.3">
      <c r="B130" s="8" t="s">
        <v>16</v>
      </c>
      <c r="C130" s="9">
        <v>0</v>
      </c>
      <c r="D130" s="9">
        <v>0</v>
      </c>
      <c r="E130" s="9">
        <v>2982.6</v>
      </c>
      <c r="F130" s="9">
        <v>0</v>
      </c>
      <c r="G130" s="9">
        <v>0</v>
      </c>
      <c r="H130" s="9">
        <v>0</v>
      </c>
      <c r="I130" s="9">
        <v>2710.1</v>
      </c>
      <c r="J130" s="9">
        <v>0</v>
      </c>
      <c r="K130" s="9">
        <v>379.8</v>
      </c>
      <c r="L130" s="9">
        <v>0</v>
      </c>
      <c r="M130" s="9">
        <v>0</v>
      </c>
      <c r="N130" s="9">
        <v>419</v>
      </c>
      <c r="O130" s="9">
        <v>6491.5</v>
      </c>
      <c r="P130" s="9">
        <f>SUM(P131:P132)</f>
        <v>0</v>
      </c>
      <c r="Q130" s="9">
        <f t="shared" ref="Q130:AA130" si="19">SUM(Q131:Q132)</f>
        <v>0</v>
      </c>
      <c r="R130" s="9">
        <f t="shared" si="19"/>
        <v>0</v>
      </c>
      <c r="S130" s="9">
        <f t="shared" si="19"/>
        <v>0</v>
      </c>
      <c r="T130" s="9">
        <f t="shared" si="19"/>
        <v>0</v>
      </c>
      <c r="U130" s="9">
        <f t="shared" si="19"/>
        <v>3000</v>
      </c>
      <c r="V130" s="9">
        <f t="shared" si="19"/>
        <v>0</v>
      </c>
      <c r="W130" s="9">
        <f t="shared" si="19"/>
        <v>0</v>
      </c>
      <c r="X130" s="9">
        <f t="shared" si="19"/>
        <v>0</v>
      </c>
      <c r="Y130" s="9">
        <f t="shared" si="19"/>
        <v>0</v>
      </c>
      <c r="Z130" s="9">
        <f t="shared" si="19"/>
        <v>0</v>
      </c>
      <c r="AA130" s="9">
        <f t="shared" si="19"/>
        <v>3000</v>
      </c>
      <c r="AB130" s="9">
        <f t="shared" si="16"/>
        <v>6000</v>
      </c>
    </row>
    <row r="131" spans="2:28" outlineLevel="1" x14ac:dyDescent="0.3">
      <c r="B131" s="10" t="s">
        <v>127</v>
      </c>
      <c r="C131" s="11">
        <v>0</v>
      </c>
      <c r="D131" s="11">
        <v>0</v>
      </c>
      <c r="E131" s="11">
        <v>0</v>
      </c>
      <c r="F131" s="11"/>
      <c r="G131" s="11"/>
      <c r="H131" s="11"/>
      <c r="I131" s="11"/>
      <c r="J131" s="11"/>
      <c r="K131" s="11"/>
      <c r="L131" s="11"/>
      <c r="M131" s="11"/>
      <c r="N131" s="11"/>
      <c r="O131" s="11">
        <v>0</v>
      </c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>
        <f t="shared" si="16"/>
        <v>0</v>
      </c>
    </row>
    <row r="132" spans="2:28" outlineLevel="1" collapsed="1" x14ac:dyDescent="0.3">
      <c r="B132" s="10" t="s">
        <v>128</v>
      </c>
      <c r="C132" s="11">
        <v>0</v>
      </c>
      <c r="D132" s="11">
        <v>0</v>
      </c>
      <c r="E132" s="11">
        <v>2982.6</v>
      </c>
      <c r="F132" s="11"/>
      <c r="G132" s="11"/>
      <c r="H132" s="11"/>
      <c r="I132" s="11">
        <v>2710.1</v>
      </c>
      <c r="J132" s="11"/>
      <c r="K132" s="11">
        <v>379.8</v>
      </c>
      <c r="L132" s="11"/>
      <c r="M132" s="11"/>
      <c r="N132" s="11">
        <v>419</v>
      </c>
      <c r="O132" s="11">
        <v>6491.5</v>
      </c>
      <c r="P132" s="11"/>
      <c r="Q132" s="11"/>
      <c r="R132" s="11"/>
      <c r="S132" s="11"/>
      <c r="T132" s="11"/>
      <c r="U132" s="11">
        <v>3000</v>
      </c>
      <c r="V132" s="11"/>
      <c r="W132" s="11"/>
      <c r="X132" s="11"/>
      <c r="Y132" s="11"/>
      <c r="Z132" s="11"/>
      <c r="AA132" s="11">
        <v>3000</v>
      </c>
      <c r="AB132" s="11">
        <f t="shared" si="16"/>
        <v>6000</v>
      </c>
    </row>
    <row r="133" spans="2:28" x14ac:dyDescent="0.3">
      <c r="B133" s="8" t="s">
        <v>5</v>
      </c>
      <c r="C133" s="9">
        <v>0</v>
      </c>
      <c r="D133" s="9">
        <v>327977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327977</v>
      </c>
      <c r="P133" s="9">
        <f>P134</f>
        <v>0</v>
      </c>
      <c r="Q133" s="9">
        <f t="shared" ref="Q133:AA133" si="20">Q134</f>
        <v>0</v>
      </c>
      <c r="R133" s="9">
        <f t="shared" si="20"/>
        <v>0</v>
      </c>
      <c r="S133" s="9">
        <f t="shared" si="20"/>
        <v>0</v>
      </c>
      <c r="T133" s="9">
        <f t="shared" si="20"/>
        <v>0</v>
      </c>
      <c r="U133" s="9">
        <f t="shared" si="20"/>
        <v>0</v>
      </c>
      <c r="V133" s="9">
        <f t="shared" si="20"/>
        <v>0</v>
      </c>
      <c r="W133" s="9">
        <f t="shared" si="20"/>
        <v>0</v>
      </c>
      <c r="X133" s="9">
        <f t="shared" si="20"/>
        <v>0</v>
      </c>
      <c r="Y133" s="9">
        <f t="shared" si="20"/>
        <v>350000</v>
      </c>
      <c r="Z133" s="9">
        <f t="shared" si="20"/>
        <v>0</v>
      </c>
      <c r="AA133" s="9">
        <f t="shared" si="20"/>
        <v>0</v>
      </c>
      <c r="AB133" s="9">
        <f t="shared" si="16"/>
        <v>350000</v>
      </c>
    </row>
    <row r="134" spans="2:28" outlineLevel="1" x14ac:dyDescent="0.3">
      <c r="B134" s="10" t="s">
        <v>129</v>
      </c>
      <c r="C134" s="11">
        <v>0</v>
      </c>
      <c r="D134" s="11">
        <v>327977</v>
      </c>
      <c r="E134" s="11">
        <v>0</v>
      </c>
      <c r="F134" s="11"/>
      <c r="G134" s="11"/>
      <c r="H134" s="11"/>
      <c r="I134" s="11"/>
      <c r="J134" s="11"/>
      <c r="K134" s="11"/>
      <c r="L134" s="11"/>
      <c r="M134" s="11"/>
      <c r="N134" s="11"/>
      <c r="O134" s="11">
        <v>327977</v>
      </c>
      <c r="P134" s="11"/>
      <c r="Q134" s="11"/>
      <c r="R134" s="11"/>
      <c r="S134" s="11"/>
      <c r="T134" s="11"/>
      <c r="U134" s="11"/>
      <c r="V134" s="11"/>
      <c r="W134" s="11"/>
      <c r="X134" s="11"/>
      <c r="Y134" s="11">
        <v>350000</v>
      </c>
      <c r="Z134" s="11"/>
      <c r="AA134" s="11"/>
      <c r="AB134" s="11">
        <f t="shared" si="16"/>
        <v>350000</v>
      </c>
    </row>
    <row r="135" spans="2:28" x14ac:dyDescent="0.3">
      <c r="B135" s="8" t="s">
        <v>17</v>
      </c>
      <c r="C135" s="9">
        <v>10519.92</v>
      </c>
      <c r="D135" s="9">
        <v>10453.1</v>
      </c>
      <c r="E135" s="9">
        <v>5283.32</v>
      </c>
      <c r="F135" s="9">
        <v>13659.16</v>
      </c>
      <c r="G135" s="9">
        <v>-4688.3599999999997</v>
      </c>
      <c r="H135" s="9">
        <v>70582.48</v>
      </c>
      <c r="I135" s="9">
        <v>4001.75</v>
      </c>
      <c r="J135" s="9">
        <v>748.23</v>
      </c>
      <c r="K135" s="9">
        <v>2987.2999999999997</v>
      </c>
      <c r="L135" s="9">
        <v>6487.78</v>
      </c>
      <c r="M135" s="9">
        <v>4584</v>
      </c>
      <c r="N135" s="9">
        <v>63655.76</v>
      </c>
      <c r="O135" s="9">
        <v>188274.44</v>
      </c>
      <c r="P135" s="9">
        <f>SUM(P136:P142)</f>
        <v>12450</v>
      </c>
      <c r="Q135" s="9">
        <f t="shared" ref="Q135:AA135" si="21">SUM(Q136:Q142)</f>
        <v>16250</v>
      </c>
      <c r="R135" s="9">
        <f t="shared" si="21"/>
        <v>13750</v>
      </c>
      <c r="S135" s="9">
        <f t="shared" si="21"/>
        <v>14750</v>
      </c>
      <c r="T135" s="9">
        <f t="shared" si="21"/>
        <v>14450</v>
      </c>
      <c r="U135" s="9">
        <f t="shared" si="21"/>
        <v>14450</v>
      </c>
      <c r="V135" s="9">
        <f t="shared" si="21"/>
        <v>14250</v>
      </c>
      <c r="W135" s="9">
        <f t="shared" si="21"/>
        <v>14250</v>
      </c>
      <c r="X135" s="9">
        <f t="shared" si="21"/>
        <v>16750</v>
      </c>
      <c r="Y135" s="9">
        <f t="shared" si="21"/>
        <v>14450</v>
      </c>
      <c r="Z135" s="9">
        <f t="shared" si="21"/>
        <v>14450</v>
      </c>
      <c r="AA135" s="9">
        <f t="shared" si="21"/>
        <v>14250</v>
      </c>
      <c r="AB135" s="9">
        <f t="shared" si="16"/>
        <v>174500</v>
      </c>
    </row>
    <row r="136" spans="2:28" outlineLevel="1" x14ac:dyDescent="0.3">
      <c r="B136" s="10" t="s">
        <v>130</v>
      </c>
      <c r="C136" s="11">
        <v>9955</v>
      </c>
      <c r="D136" s="11">
        <v>9955</v>
      </c>
      <c r="E136" s="11">
        <v>9955</v>
      </c>
      <c r="F136" s="11">
        <v>10226</v>
      </c>
      <c r="G136" s="11">
        <v>-4828</v>
      </c>
      <c r="H136" s="11">
        <v>69854</v>
      </c>
      <c r="I136" s="11"/>
      <c r="J136" s="11"/>
      <c r="K136" s="11"/>
      <c r="L136" s="11">
        <v>5311</v>
      </c>
      <c r="M136" s="11"/>
      <c r="N136" s="11">
        <v>60252</v>
      </c>
      <c r="O136" s="11">
        <v>170680</v>
      </c>
      <c r="P136" s="19">
        <v>11500</v>
      </c>
      <c r="Q136" s="19">
        <v>11500</v>
      </c>
      <c r="R136" s="19">
        <v>11500</v>
      </c>
      <c r="S136" s="19">
        <v>11500</v>
      </c>
      <c r="T136" s="19">
        <v>13500</v>
      </c>
      <c r="U136" s="19">
        <v>13500</v>
      </c>
      <c r="V136" s="19">
        <v>13500</v>
      </c>
      <c r="W136" s="19">
        <v>13500</v>
      </c>
      <c r="X136" s="19">
        <v>13500</v>
      </c>
      <c r="Y136" s="19">
        <v>13500</v>
      </c>
      <c r="Z136" s="19">
        <v>13500</v>
      </c>
      <c r="AA136" s="19">
        <v>13500</v>
      </c>
      <c r="AB136" s="11">
        <f t="shared" si="16"/>
        <v>154000</v>
      </c>
    </row>
    <row r="137" spans="2:28" outlineLevel="1" collapsed="1" x14ac:dyDescent="0.3">
      <c r="B137" s="10" t="s">
        <v>131</v>
      </c>
      <c r="C137" s="11">
        <v>0</v>
      </c>
      <c r="D137" s="11">
        <v>0</v>
      </c>
      <c r="E137" s="11">
        <v>0</v>
      </c>
      <c r="F137" s="11">
        <v>0.52</v>
      </c>
      <c r="G137" s="11"/>
      <c r="H137" s="11"/>
      <c r="I137" s="11">
        <v>0</v>
      </c>
      <c r="J137" s="11">
        <v>-0.01</v>
      </c>
      <c r="K137" s="11">
        <v>0.53</v>
      </c>
      <c r="L137" s="11"/>
      <c r="M137" s="11"/>
      <c r="N137" s="11"/>
      <c r="O137" s="11">
        <v>1.04</v>
      </c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>
        <f t="shared" ref="AB137:AB150" si="22">SUM(P137:AA137)</f>
        <v>0</v>
      </c>
    </row>
    <row r="138" spans="2:28" outlineLevel="1" collapsed="1" x14ac:dyDescent="0.3">
      <c r="B138" s="10" t="s">
        <v>132</v>
      </c>
      <c r="C138" s="11">
        <v>162.03</v>
      </c>
      <c r="D138" s="11">
        <v>200.28</v>
      </c>
      <c r="E138" s="11">
        <v>-1284.67</v>
      </c>
      <c r="F138" s="11">
        <v>379.29</v>
      </c>
      <c r="G138" s="11">
        <v>0</v>
      </c>
      <c r="H138" s="11"/>
      <c r="I138" s="11">
        <v>41.48</v>
      </c>
      <c r="J138" s="11">
        <v>198.65</v>
      </c>
      <c r="K138" s="11">
        <v>477.4</v>
      </c>
      <c r="L138" s="11">
        <v>1139</v>
      </c>
      <c r="M138" s="11">
        <v>502</v>
      </c>
      <c r="N138" s="11">
        <v>3243.12</v>
      </c>
      <c r="O138" s="11">
        <v>5058.58</v>
      </c>
      <c r="P138" s="19">
        <v>500</v>
      </c>
      <c r="Q138" s="19">
        <v>500</v>
      </c>
      <c r="R138" s="19">
        <v>500</v>
      </c>
      <c r="S138" s="19">
        <v>500</v>
      </c>
      <c r="T138" s="19">
        <v>500</v>
      </c>
      <c r="U138" s="19">
        <v>500</v>
      </c>
      <c r="V138" s="19">
        <v>500</v>
      </c>
      <c r="W138" s="19">
        <v>500</v>
      </c>
      <c r="X138" s="19">
        <v>500</v>
      </c>
      <c r="Y138" s="19">
        <v>500</v>
      </c>
      <c r="Z138" s="19">
        <v>500</v>
      </c>
      <c r="AA138" s="19">
        <v>500</v>
      </c>
      <c r="AB138" s="11">
        <f t="shared" si="22"/>
        <v>6000</v>
      </c>
    </row>
    <row r="139" spans="2:28" outlineLevel="1" collapsed="1" x14ac:dyDescent="0.3">
      <c r="B139" s="10" t="s">
        <v>133</v>
      </c>
      <c r="C139" s="11">
        <v>210</v>
      </c>
      <c r="D139" s="11">
        <v>84</v>
      </c>
      <c r="E139" s="11">
        <v>378</v>
      </c>
      <c r="F139" s="11">
        <v>2240</v>
      </c>
      <c r="G139" s="11"/>
      <c r="H139" s="11"/>
      <c r="I139" s="11"/>
      <c r="J139" s="11"/>
      <c r="K139" s="11"/>
      <c r="L139" s="11"/>
      <c r="M139" s="11"/>
      <c r="N139" s="11"/>
      <c r="O139" s="11">
        <v>2912</v>
      </c>
      <c r="P139" s="19">
        <v>200</v>
      </c>
      <c r="Q139" s="19">
        <v>4000</v>
      </c>
      <c r="R139" s="19">
        <v>1500</v>
      </c>
      <c r="S139" s="19">
        <v>2500</v>
      </c>
      <c r="T139" s="19">
        <v>200</v>
      </c>
      <c r="U139" s="19">
        <v>200</v>
      </c>
      <c r="V139" s="19"/>
      <c r="W139" s="19"/>
      <c r="X139" s="19">
        <v>500</v>
      </c>
      <c r="Y139" s="19">
        <v>200</v>
      </c>
      <c r="Z139" s="19">
        <v>200</v>
      </c>
      <c r="AA139" s="19"/>
      <c r="AB139" s="11">
        <f t="shared" si="22"/>
        <v>9500</v>
      </c>
    </row>
    <row r="140" spans="2:28" outlineLevel="1" collapsed="1" x14ac:dyDescent="0.3">
      <c r="B140" s="10" t="s">
        <v>134</v>
      </c>
      <c r="C140" s="11">
        <v>192.89</v>
      </c>
      <c r="D140" s="11">
        <v>213.82</v>
      </c>
      <c r="E140" s="11">
        <v>234.99</v>
      </c>
      <c r="F140" s="11">
        <v>459.55</v>
      </c>
      <c r="G140" s="11">
        <v>139.63999999999999</v>
      </c>
      <c r="H140" s="11">
        <v>191.5</v>
      </c>
      <c r="I140" s="11">
        <v>781.12</v>
      </c>
      <c r="J140" s="11">
        <v>549.59</v>
      </c>
      <c r="K140" s="11">
        <v>1406.87</v>
      </c>
      <c r="L140" s="11">
        <v>37.78</v>
      </c>
      <c r="M140" s="11">
        <v>82</v>
      </c>
      <c r="N140" s="11">
        <v>90.64</v>
      </c>
      <c r="O140" s="11">
        <v>4380.3899999999994</v>
      </c>
      <c r="P140" s="19">
        <v>250</v>
      </c>
      <c r="Q140" s="19">
        <v>250</v>
      </c>
      <c r="R140" s="19">
        <v>250</v>
      </c>
      <c r="S140" s="19">
        <v>250</v>
      </c>
      <c r="T140" s="19">
        <v>250</v>
      </c>
      <c r="U140" s="19">
        <v>250</v>
      </c>
      <c r="V140" s="19">
        <v>250</v>
      </c>
      <c r="W140" s="19">
        <v>250</v>
      </c>
      <c r="X140" s="19">
        <v>2250</v>
      </c>
      <c r="Y140" s="19">
        <v>250</v>
      </c>
      <c r="Z140" s="19">
        <v>250</v>
      </c>
      <c r="AA140" s="19">
        <v>250</v>
      </c>
      <c r="AB140" s="11">
        <f t="shared" si="22"/>
        <v>5000</v>
      </c>
    </row>
    <row r="141" spans="2:28" outlineLevel="1" collapsed="1" x14ac:dyDescent="0.3">
      <c r="B141" s="10" t="s">
        <v>135</v>
      </c>
      <c r="C141" s="11">
        <v>0</v>
      </c>
      <c r="D141" s="11">
        <v>0</v>
      </c>
      <c r="E141" s="11">
        <v>0</v>
      </c>
      <c r="F141" s="11">
        <v>353.8</v>
      </c>
      <c r="G141" s="11"/>
      <c r="H141" s="11">
        <v>536.98</v>
      </c>
      <c r="I141" s="11">
        <v>3179.15</v>
      </c>
      <c r="J141" s="11"/>
      <c r="K141" s="11">
        <v>1102.5</v>
      </c>
      <c r="L141" s="11"/>
      <c r="M141" s="11"/>
      <c r="N141" s="11">
        <v>70</v>
      </c>
      <c r="O141" s="11">
        <v>5242.43</v>
      </c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>
        <f t="shared" si="22"/>
        <v>0</v>
      </c>
    </row>
    <row r="142" spans="2:28" outlineLevel="1" collapsed="1" x14ac:dyDescent="0.3">
      <c r="B142" s="10" t="s">
        <v>136</v>
      </c>
      <c r="C142" s="11">
        <v>0</v>
      </c>
      <c r="D142" s="11">
        <v>0</v>
      </c>
      <c r="E142" s="11">
        <v>-4000</v>
      </c>
      <c r="F142" s="11"/>
      <c r="G142" s="11"/>
      <c r="H142" s="11"/>
      <c r="I142" s="11"/>
      <c r="J142" s="11"/>
      <c r="K142" s="11"/>
      <c r="L142" s="11"/>
      <c r="M142" s="11">
        <v>4000</v>
      </c>
      <c r="N142" s="11"/>
      <c r="O142" s="11">
        <v>0</v>
      </c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>
        <f t="shared" si="22"/>
        <v>0</v>
      </c>
    </row>
    <row r="143" spans="2:28" x14ac:dyDescent="0.3">
      <c r="B143" s="15" t="s">
        <v>18</v>
      </c>
      <c r="C143" s="16">
        <v>402313.48</v>
      </c>
      <c r="D143" s="16">
        <v>487907.18999999994</v>
      </c>
      <c r="E143" s="16">
        <v>967487.98999999987</v>
      </c>
      <c r="F143" s="16">
        <v>367593.16</v>
      </c>
      <c r="G143" s="16">
        <v>378375.92000000004</v>
      </c>
      <c r="H143" s="16">
        <v>371070.58999999997</v>
      </c>
      <c r="I143" s="16">
        <v>273843.02999999997</v>
      </c>
      <c r="J143" s="16">
        <v>150458.70000000004</v>
      </c>
      <c r="K143" s="16">
        <v>396881.17</v>
      </c>
      <c r="L143" s="16">
        <v>210311.66</v>
      </c>
      <c r="M143" s="16">
        <v>562007.9</v>
      </c>
      <c r="N143" s="16">
        <v>272359.97000000003</v>
      </c>
      <c r="O143" s="16">
        <v>4840610.76</v>
      </c>
      <c r="P143" s="16">
        <f>P40+P56+P71+P120+P127+P128+P130+P133+P135</f>
        <v>324485.74931272003</v>
      </c>
      <c r="Q143" s="16">
        <f t="shared" ref="Q143:AA143" si="23">Q40+Q56+Q71+Q120+Q127+Q128+Q130+Q133+Q135</f>
        <v>383785.74931272003</v>
      </c>
      <c r="R143" s="16">
        <f t="shared" si="23"/>
        <v>333785.74931272003</v>
      </c>
      <c r="S143" s="16">
        <f t="shared" si="23"/>
        <v>446285.74931272003</v>
      </c>
      <c r="T143" s="16">
        <f t="shared" si="23"/>
        <v>432985.74931272003</v>
      </c>
      <c r="U143" s="16">
        <f t="shared" si="23"/>
        <v>392235.74931272003</v>
      </c>
      <c r="V143" s="16">
        <f t="shared" si="23"/>
        <v>220285.74931272003</v>
      </c>
      <c r="W143" s="16">
        <f t="shared" si="23"/>
        <v>356535.74931272003</v>
      </c>
      <c r="X143" s="16">
        <f t="shared" si="23"/>
        <v>428785.74931272003</v>
      </c>
      <c r="Y143" s="16">
        <f t="shared" si="23"/>
        <v>688985.74931272003</v>
      </c>
      <c r="Z143" s="16">
        <f t="shared" si="23"/>
        <v>320985.74931272003</v>
      </c>
      <c r="AA143" s="16">
        <f t="shared" si="23"/>
        <v>1281463.74931272</v>
      </c>
      <c r="AB143" s="16">
        <f>AB40+AB56+AB71+AB120+AB127+AB128+AB130+AB133+AB135</f>
        <v>5610606.9917526403</v>
      </c>
    </row>
    <row r="144" spans="2:28" x14ac:dyDescent="0.3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2:28" x14ac:dyDescent="0.3"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</row>
    <row r="146" spans="2:28" collapsed="1" x14ac:dyDescent="0.3">
      <c r="B146" s="8" t="s">
        <v>19</v>
      </c>
      <c r="C146" s="9">
        <v>17695</v>
      </c>
      <c r="D146" s="9">
        <v>0</v>
      </c>
      <c r="E146" s="9">
        <v>-11964.55</v>
      </c>
      <c r="F146" s="9">
        <v>41.2</v>
      </c>
      <c r="G146" s="9">
        <v>0</v>
      </c>
      <c r="H146" s="9">
        <v>250.71</v>
      </c>
      <c r="I146" s="9">
        <v>24600.420000000002</v>
      </c>
      <c r="J146" s="9">
        <v>0</v>
      </c>
      <c r="K146" s="9">
        <v>176.61</v>
      </c>
      <c r="L146" s="9">
        <v>0</v>
      </c>
      <c r="M146" s="9">
        <v>0</v>
      </c>
      <c r="N146" s="9">
        <v>616.34</v>
      </c>
      <c r="O146" s="9">
        <v>31415.730000000003</v>
      </c>
      <c r="P146" s="9">
        <f>SUM(P147:P150)</f>
        <v>0</v>
      </c>
      <c r="Q146" s="9">
        <f t="shared" ref="Q146:AA146" si="24">SUM(Q147:Q150)</f>
        <v>0</v>
      </c>
      <c r="R146" s="9">
        <f t="shared" si="24"/>
        <v>0</v>
      </c>
      <c r="S146" s="9">
        <f t="shared" si="24"/>
        <v>40000</v>
      </c>
      <c r="T146" s="9">
        <f t="shared" si="24"/>
        <v>0</v>
      </c>
      <c r="U146" s="9">
        <f t="shared" si="24"/>
        <v>0</v>
      </c>
      <c r="V146" s="9">
        <f t="shared" si="24"/>
        <v>0</v>
      </c>
      <c r="W146" s="9">
        <f t="shared" si="24"/>
        <v>0</v>
      </c>
      <c r="X146" s="9">
        <f t="shared" si="24"/>
        <v>0</v>
      </c>
      <c r="Y146" s="9">
        <f t="shared" si="24"/>
        <v>40000</v>
      </c>
      <c r="Z146" s="9">
        <f t="shared" si="24"/>
        <v>0</v>
      </c>
      <c r="AA146" s="9">
        <f t="shared" si="24"/>
        <v>-10000</v>
      </c>
      <c r="AB146" s="9">
        <f t="shared" si="22"/>
        <v>70000</v>
      </c>
    </row>
    <row r="147" spans="2:28" outlineLevel="1" x14ac:dyDescent="0.3">
      <c r="B147" s="10" t="s">
        <v>137</v>
      </c>
      <c r="C147" s="11">
        <v>0</v>
      </c>
      <c r="D147" s="11">
        <v>0</v>
      </c>
      <c r="E147" s="11">
        <v>-11964.55</v>
      </c>
      <c r="F147" s="11"/>
      <c r="G147" s="11"/>
      <c r="H147" s="11"/>
      <c r="I147" s="11"/>
      <c r="J147" s="11"/>
      <c r="K147" s="11"/>
      <c r="L147" s="11"/>
      <c r="M147" s="11"/>
      <c r="N147" s="11"/>
      <c r="O147" s="11">
        <v>-11964.55</v>
      </c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>
        <v>-10000</v>
      </c>
      <c r="AB147" s="11">
        <f t="shared" si="22"/>
        <v>-10000</v>
      </c>
    </row>
    <row r="148" spans="2:28" outlineLevel="1" collapsed="1" x14ac:dyDescent="0.3">
      <c r="B148" s="10" t="s">
        <v>138</v>
      </c>
      <c r="C148" s="11">
        <v>0</v>
      </c>
      <c r="D148" s="11">
        <v>0</v>
      </c>
      <c r="E148" s="11">
        <v>0</v>
      </c>
      <c r="F148" s="11">
        <v>41.2</v>
      </c>
      <c r="G148" s="11"/>
      <c r="H148" s="11"/>
      <c r="I148" s="11">
        <v>4.1500000000000004</v>
      </c>
      <c r="J148" s="11"/>
      <c r="K148" s="11"/>
      <c r="L148" s="11"/>
      <c r="M148" s="11"/>
      <c r="N148" s="11"/>
      <c r="O148" s="11">
        <v>45.35</v>
      </c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>
        <f t="shared" si="22"/>
        <v>0</v>
      </c>
    </row>
    <row r="149" spans="2:28" outlineLevel="1" collapsed="1" x14ac:dyDescent="0.3">
      <c r="B149" s="10" t="s">
        <v>139</v>
      </c>
      <c r="C149" s="11">
        <v>17695</v>
      </c>
      <c r="D149" s="11">
        <v>0</v>
      </c>
      <c r="E149" s="11">
        <v>0</v>
      </c>
      <c r="F149" s="11"/>
      <c r="G149" s="11"/>
      <c r="H149" s="11"/>
      <c r="I149" s="11">
        <v>24338</v>
      </c>
      <c r="J149" s="11"/>
      <c r="K149" s="11"/>
      <c r="L149" s="11"/>
      <c r="M149" s="11"/>
      <c r="N149" s="11"/>
      <c r="O149" s="11">
        <v>42033</v>
      </c>
      <c r="P149" s="11"/>
      <c r="Q149" s="11"/>
      <c r="R149" s="11"/>
      <c r="S149" s="11">
        <v>40000</v>
      </c>
      <c r="T149" s="11"/>
      <c r="U149" s="11"/>
      <c r="V149" s="11"/>
      <c r="W149" s="11"/>
      <c r="X149" s="11"/>
      <c r="Y149" s="11">
        <v>40000</v>
      </c>
      <c r="Z149" s="11"/>
      <c r="AA149" s="11"/>
      <c r="AB149" s="11">
        <f t="shared" si="22"/>
        <v>80000</v>
      </c>
    </row>
    <row r="150" spans="2:28" outlineLevel="1" collapsed="1" x14ac:dyDescent="0.3">
      <c r="B150" s="10" t="s">
        <v>140</v>
      </c>
      <c r="C150" s="11">
        <v>0</v>
      </c>
      <c r="D150" s="11">
        <v>0</v>
      </c>
      <c r="E150" s="11">
        <v>0</v>
      </c>
      <c r="F150" s="11"/>
      <c r="G150" s="11"/>
      <c r="H150" s="11">
        <v>250.71</v>
      </c>
      <c r="I150" s="11">
        <v>258.27</v>
      </c>
      <c r="J150" s="11"/>
      <c r="K150" s="11">
        <v>176.61</v>
      </c>
      <c r="L150" s="11"/>
      <c r="M150" s="11">
        <v>0</v>
      </c>
      <c r="N150" s="11">
        <v>616.34</v>
      </c>
      <c r="O150" s="11">
        <v>1301.93</v>
      </c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>
        <f t="shared" si="22"/>
        <v>0</v>
      </c>
    </row>
    <row r="151" spans="2:28" ht="16.2" thickBot="1" x14ac:dyDescent="0.35">
      <c r="B151" s="12" t="s">
        <v>20</v>
      </c>
      <c r="C151" s="13">
        <v>-217664.22999999998</v>
      </c>
      <c r="D151" s="13">
        <v>-447765.38</v>
      </c>
      <c r="E151" s="13">
        <v>249696.8299999999</v>
      </c>
      <c r="F151" s="13">
        <v>269509.36</v>
      </c>
      <c r="G151" s="13">
        <v>66804.430000000051</v>
      </c>
      <c r="H151" s="13">
        <v>-405467.57</v>
      </c>
      <c r="I151" s="13">
        <v>-635551.82999999996</v>
      </c>
      <c r="J151" s="13">
        <v>-61768.579999999958</v>
      </c>
      <c r="K151" s="13">
        <v>258708.83999999997</v>
      </c>
      <c r="L151" s="13">
        <v>152739.92000000001</v>
      </c>
      <c r="M151" s="13">
        <v>139311.55000000005</v>
      </c>
      <c r="N151" s="13">
        <v>-159515.02999999994</v>
      </c>
      <c r="O151" s="13">
        <v>-790961.69000000006</v>
      </c>
      <c r="P151" s="13">
        <f>P36+P143+P146</f>
        <v>188985.74931272003</v>
      </c>
      <c r="Q151" s="13">
        <f t="shared" ref="Q151:AA151" si="25">Q36+Q143+Q146</f>
        <v>98285.749312720029</v>
      </c>
      <c r="R151" s="13">
        <f t="shared" si="25"/>
        <v>-651283.25068727997</v>
      </c>
      <c r="S151" s="13">
        <f t="shared" si="25"/>
        <v>-295880.9173539466</v>
      </c>
      <c r="T151" s="13">
        <f t="shared" si="25"/>
        <v>307485.74931272003</v>
      </c>
      <c r="U151" s="13">
        <f t="shared" si="25"/>
        <v>250146.74931272003</v>
      </c>
      <c r="V151" s="13">
        <f t="shared" si="25"/>
        <v>175285.74931272003</v>
      </c>
      <c r="W151" s="13">
        <f t="shared" si="25"/>
        <v>-16131.250687279971</v>
      </c>
      <c r="X151" s="13">
        <f t="shared" si="25"/>
        <v>6696.7493127200287</v>
      </c>
      <c r="Y151" s="13">
        <f t="shared" si="25"/>
        <v>-193494.25068727997</v>
      </c>
      <c r="Z151" s="13">
        <f t="shared" si="25"/>
        <v>-79514.250687279971</v>
      </c>
      <c r="AA151" s="13">
        <f t="shared" si="25"/>
        <v>202708.74931272003</v>
      </c>
      <c r="AB151" s="13">
        <f>AB36+AB143+AB146</f>
        <v>-6708.6749140257016</v>
      </c>
    </row>
    <row r="152" spans="2:28" ht="15" thickTop="1" x14ac:dyDescent="0.3"/>
  </sheetData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F8B89-B21D-4790-A543-8BFC23534223}">
  <dimension ref="B4:G90"/>
  <sheetViews>
    <sheetView workbookViewId="0">
      <selection activeCell="E18" sqref="E18"/>
    </sheetView>
  </sheetViews>
  <sheetFormatPr baseColWidth="10" defaultRowHeight="14.4" outlineLevelRow="1" x14ac:dyDescent="0.3"/>
  <cols>
    <col min="1" max="1" width="6.88671875" customWidth="1"/>
    <col min="2" max="2" width="50" bestFit="1" customWidth="1"/>
    <col min="3" max="4" width="15.5546875" style="99" bestFit="1" customWidth="1"/>
    <col min="5" max="6" width="18.88671875" style="99" customWidth="1"/>
    <col min="7" max="7" width="21.109375" style="99" bestFit="1" customWidth="1"/>
  </cols>
  <sheetData>
    <row r="4" spans="2:7" ht="31.2" x14ac:dyDescent="0.3">
      <c r="B4" s="2" t="s">
        <v>240</v>
      </c>
      <c r="C4" s="92" t="s">
        <v>241</v>
      </c>
      <c r="D4" s="92" t="s">
        <v>242</v>
      </c>
      <c r="E4" s="100" t="s">
        <v>251</v>
      </c>
      <c r="F4" s="100" t="s">
        <v>252</v>
      </c>
      <c r="G4" s="92" t="s">
        <v>243</v>
      </c>
    </row>
    <row r="5" spans="2:7" x14ac:dyDescent="0.3">
      <c r="B5" s="4"/>
      <c r="C5" s="93"/>
      <c r="D5" s="93"/>
      <c r="E5" s="93"/>
      <c r="F5" s="93"/>
      <c r="G5" s="93">
        <v>50</v>
      </c>
    </row>
    <row r="6" spans="2:7" x14ac:dyDescent="0.3">
      <c r="B6" s="5"/>
      <c r="C6" s="94"/>
      <c r="D6" s="94"/>
      <c r="E6" s="94"/>
      <c r="F6" s="94"/>
      <c r="G6" s="94"/>
    </row>
    <row r="7" spans="2:7" ht="21" x14ac:dyDescent="0.4">
      <c r="B7" s="6" t="s">
        <v>3</v>
      </c>
      <c r="C7" s="95"/>
      <c r="D7" s="95"/>
      <c r="E7" s="95"/>
      <c r="F7" s="95"/>
      <c r="G7" s="95"/>
    </row>
    <row r="8" spans="2:7" x14ac:dyDescent="0.3">
      <c r="B8" s="8" t="s">
        <v>5</v>
      </c>
      <c r="C8" s="96">
        <f>SUM(C9:C12)</f>
        <v>-2293673</v>
      </c>
      <c r="D8" s="96">
        <f t="shared" ref="D8:F8" si="0">SUM(D9:D12)</f>
        <v>-291448</v>
      </c>
      <c r="E8" s="96">
        <f t="shared" si="0"/>
        <v>-357267</v>
      </c>
      <c r="F8" s="96">
        <f t="shared" si="0"/>
        <v>0</v>
      </c>
      <c r="G8" s="96">
        <f t="shared" ref="G8:G18" si="1">SUM(C8:F8)</f>
        <v>-2942388</v>
      </c>
    </row>
    <row r="9" spans="2:7" hidden="1" outlineLevel="1" x14ac:dyDescent="0.3">
      <c r="B9" s="10" t="s">
        <v>30</v>
      </c>
      <c r="C9" s="19">
        <f>-1200000-793673</f>
        <v>-1993673</v>
      </c>
      <c r="D9" s="19">
        <f>-106050</f>
        <v>-106050</v>
      </c>
      <c r="E9" s="19">
        <f>-129850</f>
        <v>-129850</v>
      </c>
      <c r="F9" s="19"/>
      <c r="G9" s="19">
        <f t="shared" si="1"/>
        <v>-2229573</v>
      </c>
    </row>
    <row r="10" spans="2:7" hidden="1" outlineLevel="1" x14ac:dyDescent="0.3">
      <c r="B10" s="10" t="s">
        <v>31</v>
      </c>
      <c r="C10" s="19"/>
      <c r="D10" s="19"/>
      <c r="E10" s="19"/>
      <c r="F10" s="19"/>
      <c r="G10" s="19">
        <f t="shared" si="1"/>
        <v>0</v>
      </c>
    </row>
    <row r="11" spans="2:7" hidden="1" outlineLevel="1" x14ac:dyDescent="0.3">
      <c r="B11" s="10" t="s">
        <v>32</v>
      </c>
      <c r="C11" s="19"/>
      <c r="D11" s="19"/>
      <c r="E11" s="19"/>
      <c r="F11" s="19"/>
      <c r="G11" s="19">
        <f t="shared" si="1"/>
        <v>0</v>
      </c>
    </row>
    <row r="12" spans="2:7" hidden="1" outlineLevel="1" x14ac:dyDescent="0.3">
      <c r="B12" s="10" t="s">
        <v>244</v>
      </c>
      <c r="C12" s="19">
        <v>-300000</v>
      </c>
      <c r="D12" s="19">
        <v>-185398</v>
      </c>
      <c r="E12" s="19">
        <v>-227417</v>
      </c>
      <c r="F12" s="19"/>
      <c r="G12" s="19">
        <f t="shared" si="1"/>
        <v>-712815</v>
      </c>
    </row>
    <row r="13" spans="2:7" collapsed="1" x14ac:dyDescent="0.3">
      <c r="B13" s="8" t="s">
        <v>7</v>
      </c>
      <c r="C13" s="96">
        <f>SUM(C14:C17)</f>
        <v>-250000</v>
      </c>
      <c r="D13" s="96">
        <f t="shared" ref="D13:F13" si="2">SUM(D14:D17)</f>
        <v>-26000</v>
      </c>
      <c r="E13" s="96">
        <f t="shared" si="2"/>
        <v>-183000</v>
      </c>
      <c r="F13" s="96">
        <f t="shared" si="2"/>
        <v>0</v>
      </c>
      <c r="G13" s="96">
        <f t="shared" si="1"/>
        <v>-459000</v>
      </c>
    </row>
    <row r="14" spans="2:7" hidden="1" outlineLevel="1" x14ac:dyDescent="0.3">
      <c r="B14" s="10" t="s">
        <v>232</v>
      </c>
      <c r="C14" s="19"/>
      <c r="D14" s="19"/>
      <c r="E14" s="19"/>
      <c r="F14" s="19"/>
      <c r="G14" s="19">
        <f t="shared" si="1"/>
        <v>0</v>
      </c>
    </row>
    <row r="15" spans="2:7" hidden="1" outlineLevel="1" x14ac:dyDescent="0.3">
      <c r="B15" s="10" t="s">
        <v>245</v>
      </c>
      <c r="C15" s="19"/>
      <c r="D15" s="19"/>
      <c r="E15" s="19"/>
      <c r="F15" s="19"/>
      <c r="G15" s="19">
        <f t="shared" si="1"/>
        <v>0</v>
      </c>
    </row>
    <row r="16" spans="2:7" hidden="1" outlineLevel="1" x14ac:dyDescent="0.3">
      <c r="B16" s="10" t="s">
        <v>41</v>
      </c>
      <c r="C16" s="19"/>
      <c r="D16" s="19"/>
      <c r="E16" s="19"/>
      <c r="F16" s="19"/>
      <c r="G16" s="19">
        <f t="shared" si="1"/>
        <v>0</v>
      </c>
    </row>
    <row r="17" spans="2:7" hidden="1" outlineLevel="1" x14ac:dyDescent="0.3">
      <c r="B17" s="10" t="s">
        <v>42</v>
      </c>
      <c r="C17" s="19">
        <v>-250000</v>
      </c>
      <c r="D17" s="19">
        <v>-26000</v>
      </c>
      <c r="E17" s="19">
        <f>-33000-150000</f>
        <v>-183000</v>
      </c>
      <c r="F17" s="19"/>
      <c r="G17" s="19">
        <f t="shared" si="1"/>
        <v>-459000</v>
      </c>
    </row>
    <row r="18" spans="2:7" collapsed="1" x14ac:dyDescent="0.3">
      <c r="B18" s="68" t="s">
        <v>8</v>
      </c>
      <c r="C18" s="97">
        <f>C8+C13</f>
        <v>-2543673</v>
      </c>
      <c r="D18" s="97">
        <f t="shared" ref="D18:F18" si="3">D8+D13</f>
        <v>-317448</v>
      </c>
      <c r="E18" s="97">
        <f t="shared" si="3"/>
        <v>-540267</v>
      </c>
      <c r="F18" s="97">
        <f t="shared" si="3"/>
        <v>0</v>
      </c>
      <c r="G18" s="97">
        <f t="shared" si="1"/>
        <v>-3401388</v>
      </c>
    </row>
    <row r="19" spans="2:7" x14ac:dyDescent="0.3">
      <c r="B19" s="5"/>
      <c r="C19" s="94"/>
      <c r="D19" s="94"/>
      <c r="E19" s="94"/>
      <c r="F19" s="94"/>
      <c r="G19" s="94"/>
    </row>
    <row r="20" spans="2:7" x14ac:dyDescent="0.3">
      <c r="B20" s="5"/>
      <c r="C20" s="94"/>
      <c r="D20" s="94"/>
      <c r="E20" s="94"/>
      <c r="F20" s="94"/>
      <c r="G20" s="94"/>
    </row>
    <row r="21" spans="2:7" ht="21" x14ac:dyDescent="0.4">
      <c r="B21" s="6" t="s">
        <v>9</v>
      </c>
      <c r="C21" s="95"/>
      <c r="D21" s="95"/>
      <c r="E21" s="95"/>
      <c r="F21" s="95"/>
      <c r="G21" s="95"/>
    </row>
    <row r="22" spans="2:7" x14ac:dyDescent="0.3">
      <c r="B22" s="8" t="s">
        <v>11</v>
      </c>
      <c r="C22" s="96">
        <f>SUM(C23:C33)</f>
        <v>0</v>
      </c>
      <c r="D22" s="96">
        <f t="shared" ref="D22" si="4">SUM(D23:D33)</f>
        <v>0</v>
      </c>
      <c r="E22" s="96"/>
      <c r="F22" s="96"/>
      <c r="G22" s="96">
        <f t="shared" ref="G22:G53" si="5">SUM(C22:F22)</f>
        <v>0</v>
      </c>
    </row>
    <row r="23" spans="2:7" hidden="1" outlineLevel="1" x14ac:dyDescent="0.3">
      <c r="B23" s="10" t="s">
        <v>58</v>
      </c>
      <c r="C23" s="19"/>
      <c r="D23" s="19"/>
      <c r="E23" s="19"/>
      <c r="F23" s="19"/>
      <c r="G23" s="19">
        <f t="shared" si="5"/>
        <v>0</v>
      </c>
    </row>
    <row r="24" spans="2:7" hidden="1" outlineLevel="1" x14ac:dyDescent="0.3">
      <c r="B24" s="10" t="s">
        <v>59</v>
      </c>
      <c r="C24" s="19"/>
      <c r="D24" s="19"/>
      <c r="E24" s="19"/>
      <c r="F24" s="19"/>
      <c r="G24" s="19">
        <f t="shared" si="5"/>
        <v>0</v>
      </c>
    </row>
    <row r="25" spans="2:7" hidden="1" outlineLevel="1" x14ac:dyDescent="0.3">
      <c r="B25" s="10" t="s">
        <v>61</v>
      </c>
      <c r="C25" s="19"/>
      <c r="D25" s="19"/>
      <c r="E25" s="19"/>
      <c r="F25" s="19"/>
      <c r="G25" s="19">
        <f t="shared" si="5"/>
        <v>0</v>
      </c>
    </row>
    <row r="26" spans="2:7" hidden="1" outlineLevel="1" x14ac:dyDescent="0.3">
      <c r="B26" s="10" t="s">
        <v>62</v>
      </c>
      <c r="C26" s="19"/>
      <c r="D26" s="19"/>
      <c r="E26" s="19"/>
      <c r="F26" s="19"/>
      <c r="G26" s="19">
        <f t="shared" si="5"/>
        <v>0</v>
      </c>
    </row>
    <row r="27" spans="2:7" hidden="1" outlineLevel="1" x14ac:dyDescent="0.3">
      <c r="B27" s="10" t="s">
        <v>246</v>
      </c>
      <c r="C27" s="19"/>
      <c r="D27" s="19"/>
      <c r="E27" s="19"/>
      <c r="F27" s="19"/>
      <c r="G27" s="19">
        <f t="shared" si="5"/>
        <v>0</v>
      </c>
    </row>
    <row r="28" spans="2:7" hidden="1" outlineLevel="1" x14ac:dyDescent="0.3">
      <c r="B28" s="10" t="s">
        <v>247</v>
      </c>
      <c r="C28" s="19"/>
      <c r="D28" s="19"/>
      <c r="E28" s="19"/>
      <c r="F28" s="19"/>
      <c r="G28" s="19">
        <f t="shared" si="5"/>
        <v>0</v>
      </c>
    </row>
    <row r="29" spans="2:7" hidden="1" outlineLevel="1" x14ac:dyDescent="0.3">
      <c r="B29" s="10" t="s">
        <v>66</v>
      </c>
      <c r="C29" s="19"/>
      <c r="D29" s="19"/>
      <c r="E29" s="19"/>
      <c r="F29" s="19"/>
      <c r="G29" s="19">
        <f t="shared" si="5"/>
        <v>0</v>
      </c>
    </row>
    <row r="30" spans="2:7" hidden="1" outlineLevel="1" x14ac:dyDescent="0.3">
      <c r="B30" s="10" t="s">
        <v>67</v>
      </c>
      <c r="C30" s="19"/>
      <c r="D30" s="19"/>
      <c r="E30" s="19"/>
      <c r="F30" s="19"/>
      <c r="G30" s="19">
        <f t="shared" si="5"/>
        <v>0</v>
      </c>
    </row>
    <row r="31" spans="2:7" hidden="1" outlineLevel="1" x14ac:dyDescent="0.3">
      <c r="B31" s="10" t="s">
        <v>68</v>
      </c>
      <c r="C31" s="19"/>
      <c r="D31" s="19"/>
      <c r="E31" s="19"/>
      <c r="F31" s="19"/>
      <c r="G31" s="19">
        <f t="shared" si="5"/>
        <v>0</v>
      </c>
    </row>
    <row r="32" spans="2:7" hidden="1" outlineLevel="1" x14ac:dyDescent="0.3">
      <c r="B32" s="10" t="s">
        <v>70</v>
      </c>
      <c r="C32" s="19"/>
      <c r="D32" s="19"/>
      <c r="E32" s="19"/>
      <c r="F32" s="19"/>
      <c r="G32" s="19">
        <f t="shared" si="5"/>
        <v>0</v>
      </c>
    </row>
    <row r="33" spans="2:7" hidden="1" outlineLevel="1" x14ac:dyDescent="0.3">
      <c r="B33" s="10" t="s">
        <v>71</v>
      </c>
      <c r="C33" s="19"/>
      <c r="D33" s="19"/>
      <c r="E33" s="19"/>
      <c r="F33" s="19"/>
      <c r="G33" s="19">
        <f t="shared" si="5"/>
        <v>0</v>
      </c>
    </row>
    <row r="34" spans="2:7" collapsed="1" x14ac:dyDescent="0.3">
      <c r="B34" s="8" t="s">
        <v>12</v>
      </c>
      <c r="C34" s="96">
        <f>SUM(C35:C78)</f>
        <v>3255869</v>
      </c>
      <c r="D34" s="96">
        <f t="shared" ref="D34:F34" si="6">SUM(D35:D78)</f>
        <v>556250</v>
      </c>
      <c r="E34" s="96">
        <f t="shared" si="6"/>
        <v>682250</v>
      </c>
      <c r="F34" s="96">
        <f t="shared" si="6"/>
        <v>469390</v>
      </c>
      <c r="G34" s="96">
        <f t="shared" si="5"/>
        <v>4963759</v>
      </c>
    </row>
    <row r="35" spans="2:7" hidden="1" outlineLevel="1" x14ac:dyDescent="0.3">
      <c r="B35" s="10" t="s">
        <v>72</v>
      </c>
      <c r="C35" s="19"/>
      <c r="D35" s="19"/>
      <c r="E35" s="19"/>
      <c r="F35" s="19"/>
      <c r="G35" s="19">
        <f t="shared" si="5"/>
        <v>0</v>
      </c>
    </row>
    <row r="36" spans="2:7" hidden="1" outlineLevel="1" x14ac:dyDescent="0.3">
      <c r="B36" s="10" t="s">
        <v>73</v>
      </c>
      <c r="C36" s="19"/>
      <c r="D36" s="19"/>
      <c r="E36" s="19"/>
      <c r="F36" s="19"/>
      <c r="G36" s="19">
        <f t="shared" si="5"/>
        <v>0</v>
      </c>
    </row>
    <row r="37" spans="2:7" hidden="1" outlineLevel="1" x14ac:dyDescent="0.3">
      <c r="B37" s="10" t="s">
        <v>76</v>
      </c>
      <c r="C37" s="19"/>
      <c r="D37" s="19"/>
      <c r="E37" s="19"/>
      <c r="F37" s="19"/>
      <c r="G37" s="19">
        <f t="shared" si="5"/>
        <v>0</v>
      </c>
    </row>
    <row r="38" spans="2:7" hidden="1" outlineLevel="1" x14ac:dyDescent="0.3">
      <c r="B38" s="10" t="s">
        <v>77</v>
      </c>
      <c r="C38" s="19"/>
      <c r="D38" s="19"/>
      <c r="E38" s="19"/>
      <c r="F38" s="19"/>
      <c r="G38" s="19">
        <f t="shared" si="5"/>
        <v>0</v>
      </c>
    </row>
    <row r="39" spans="2:7" hidden="1" outlineLevel="1" x14ac:dyDescent="0.3">
      <c r="B39" s="10" t="s">
        <v>78</v>
      </c>
      <c r="C39" s="19"/>
      <c r="D39" s="19"/>
      <c r="E39" s="19"/>
      <c r="F39" s="19"/>
      <c r="G39" s="19">
        <f t="shared" si="5"/>
        <v>0</v>
      </c>
    </row>
    <row r="40" spans="2:7" hidden="1" outlineLevel="1" x14ac:dyDescent="0.3">
      <c r="B40" s="10" t="s">
        <v>79</v>
      </c>
      <c r="C40" s="19"/>
      <c r="D40" s="19"/>
      <c r="E40" s="19"/>
      <c r="F40" s="19"/>
      <c r="G40" s="19">
        <f t="shared" si="5"/>
        <v>0</v>
      </c>
    </row>
    <row r="41" spans="2:7" hidden="1" outlineLevel="1" x14ac:dyDescent="0.3">
      <c r="B41" s="10" t="s">
        <v>80</v>
      </c>
      <c r="C41" s="19"/>
      <c r="D41" s="19"/>
      <c r="E41" s="19"/>
      <c r="F41" s="19"/>
      <c r="G41" s="19">
        <f t="shared" si="5"/>
        <v>0</v>
      </c>
    </row>
    <row r="42" spans="2:7" hidden="1" outlineLevel="1" x14ac:dyDescent="0.3">
      <c r="B42" s="10" t="s">
        <v>248</v>
      </c>
      <c r="C42" s="19"/>
      <c r="D42" s="19"/>
      <c r="E42" s="19"/>
      <c r="F42" s="19"/>
      <c r="G42" s="19">
        <f t="shared" si="5"/>
        <v>0</v>
      </c>
    </row>
    <row r="43" spans="2:7" hidden="1" outlineLevel="1" x14ac:dyDescent="0.3">
      <c r="B43" s="10" t="s">
        <v>81</v>
      </c>
      <c r="C43" s="19"/>
      <c r="D43" s="19"/>
      <c r="E43" s="19"/>
      <c r="F43" s="19"/>
      <c r="G43" s="19">
        <f t="shared" si="5"/>
        <v>0</v>
      </c>
    </row>
    <row r="44" spans="2:7" hidden="1" outlineLevel="1" x14ac:dyDescent="0.3">
      <c r="B44" s="10" t="s">
        <v>82</v>
      </c>
      <c r="C44" s="19"/>
      <c r="D44" s="19"/>
      <c r="E44" s="19"/>
      <c r="F44" s="19"/>
      <c r="G44" s="19">
        <f t="shared" si="5"/>
        <v>0</v>
      </c>
    </row>
    <row r="45" spans="2:7" hidden="1" outlineLevel="1" x14ac:dyDescent="0.3">
      <c r="B45" s="10" t="s">
        <v>83</v>
      </c>
      <c r="C45" s="19"/>
      <c r="D45" s="19"/>
      <c r="E45" s="19"/>
      <c r="F45" s="19"/>
      <c r="G45" s="19">
        <f t="shared" si="5"/>
        <v>0</v>
      </c>
    </row>
    <row r="46" spans="2:7" hidden="1" outlineLevel="1" x14ac:dyDescent="0.3">
      <c r="B46" s="10" t="s">
        <v>84</v>
      </c>
      <c r="C46" s="19"/>
      <c r="D46" s="19"/>
      <c r="E46" s="19"/>
      <c r="F46" s="19"/>
      <c r="G46" s="19">
        <f t="shared" si="5"/>
        <v>0</v>
      </c>
    </row>
    <row r="47" spans="2:7" hidden="1" outlineLevel="1" x14ac:dyDescent="0.3">
      <c r="B47" s="10" t="s">
        <v>85</v>
      </c>
      <c r="C47" s="19"/>
      <c r="D47" s="19"/>
      <c r="E47" s="19"/>
      <c r="F47" s="19"/>
      <c r="G47" s="19">
        <f t="shared" si="5"/>
        <v>0</v>
      </c>
    </row>
    <row r="48" spans="2:7" hidden="1" outlineLevel="1" x14ac:dyDescent="0.3">
      <c r="B48" s="10" t="s">
        <v>87</v>
      </c>
      <c r="C48" s="19"/>
      <c r="D48" s="19"/>
      <c r="E48" s="19"/>
      <c r="F48" s="19"/>
      <c r="G48" s="19">
        <f t="shared" si="5"/>
        <v>0</v>
      </c>
    </row>
    <row r="49" spans="2:7" hidden="1" outlineLevel="1" x14ac:dyDescent="0.3">
      <c r="B49" s="10" t="s">
        <v>88</v>
      </c>
      <c r="C49" s="19"/>
      <c r="D49" s="19"/>
      <c r="E49" s="19"/>
      <c r="F49" s="19"/>
      <c r="G49" s="19">
        <f t="shared" si="5"/>
        <v>0</v>
      </c>
    </row>
    <row r="50" spans="2:7" hidden="1" outlineLevel="1" x14ac:dyDescent="0.3">
      <c r="B50" s="10" t="s">
        <v>89</v>
      </c>
      <c r="C50" s="19"/>
      <c r="D50" s="19"/>
      <c r="E50" s="19"/>
      <c r="F50" s="19"/>
      <c r="G50" s="19">
        <f t="shared" si="5"/>
        <v>0</v>
      </c>
    </row>
    <row r="51" spans="2:7" hidden="1" outlineLevel="1" x14ac:dyDescent="0.3">
      <c r="B51" s="10" t="s">
        <v>90</v>
      </c>
      <c r="C51" s="19"/>
      <c r="D51" s="19"/>
      <c r="E51" s="19"/>
      <c r="F51" s="19"/>
      <c r="G51" s="19">
        <f t="shared" si="5"/>
        <v>0</v>
      </c>
    </row>
    <row r="52" spans="2:7" hidden="1" outlineLevel="1" x14ac:dyDescent="0.3">
      <c r="B52" s="10" t="s">
        <v>91</v>
      </c>
      <c r="C52" s="19"/>
      <c r="D52" s="19"/>
      <c r="E52" s="19"/>
      <c r="F52" s="19"/>
      <c r="G52" s="19">
        <f t="shared" si="5"/>
        <v>0</v>
      </c>
    </row>
    <row r="53" spans="2:7" hidden="1" outlineLevel="1" x14ac:dyDescent="0.3">
      <c r="B53" s="10" t="s">
        <v>92</v>
      </c>
      <c r="C53" s="19"/>
      <c r="D53" s="19"/>
      <c r="E53" s="19"/>
      <c r="F53" s="19"/>
      <c r="G53" s="19">
        <f t="shared" si="5"/>
        <v>0</v>
      </c>
    </row>
    <row r="54" spans="2:7" hidden="1" outlineLevel="1" x14ac:dyDescent="0.3">
      <c r="B54" s="10" t="s">
        <v>93</v>
      </c>
      <c r="C54" s="19"/>
      <c r="D54" s="19"/>
      <c r="E54" s="19"/>
      <c r="F54" s="19"/>
      <c r="G54" s="19">
        <f t="shared" ref="G54:G85" si="7">SUM(C54:F54)</f>
        <v>0</v>
      </c>
    </row>
    <row r="55" spans="2:7" hidden="1" outlineLevel="1" x14ac:dyDescent="0.3">
      <c r="B55" s="10" t="s">
        <v>94</v>
      </c>
      <c r="C55" s="19">
        <f>2800000+193750+50000+212119</f>
        <v>3255869</v>
      </c>
      <c r="D55" s="19">
        <v>556250</v>
      </c>
      <c r="E55" s="19">
        <v>682250</v>
      </c>
      <c r="F55" s="19">
        <f>800000-(71825+258785)</f>
        <v>469390</v>
      </c>
      <c r="G55" s="19">
        <f t="shared" si="7"/>
        <v>4963759</v>
      </c>
    </row>
    <row r="56" spans="2:7" hidden="1" outlineLevel="1" x14ac:dyDescent="0.3">
      <c r="B56" s="10" t="s">
        <v>95</v>
      </c>
      <c r="C56" s="19"/>
      <c r="D56" s="19"/>
      <c r="E56" s="19"/>
      <c r="F56" s="19"/>
      <c r="G56" s="19">
        <f t="shared" si="7"/>
        <v>0</v>
      </c>
    </row>
    <row r="57" spans="2:7" hidden="1" outlineLevel="1" x14ac:dyDescent="0.3">
      <c r="B57" s="10" t="s">
        <v>96</v>
      </c>
      <c r="C57" s="19"/>
      <c r="D57" s="19"/>
      <c r="E57" s="19"/>
      <c r="F57" s="19"/>
      <c r="G57" s="19">
        <f t="shared" si="7"/>
        <v>0</v>
      </c>
    </row>
    <row r="58" spans="2:7" hidden="1" outlineLevel="1" x14ac:dyDescent="0.3">
      <c r="B58" s="10" t="s">
        <v>97</v>
      </c>
      <c r="C58" s="19"/>
      <c r="D58" s="19"/>
      <c r="E58" s="19"/>
      <c r="F58" s="19"/>
      <c r="G58" s="19">
        <f t="shared" si="7"/>
        <v>0</v>
      </c>
    </row>
    <row r="59" spans="2:7" hidden="1" outlineLevel="1" x14ac:dyDescent="0.3">
      <c r="B59" s="10" t="s">
        <v>249</v>
      </c>
      <c r="C59" s="19"/>
      <c r="D59" s="19"/>
      <c r="E59" s="19"/>
      <c r="F59" s="19"/>
      <c r="G59" s="19">
        <f t="shared" si="7"/>
        <v>0</v>
      </c>
    </row>
    <row r="60" spans="2:7" hidden="1" outlineLevel="1" x14ac:dyDescent="0.3">
      <c r="B60" s="10" t="s">
        <v>98</v>
      </c>
      <c r="C60" s="19"/>
      <c r="D60" s="19"/>
      <c r="E60" s="19"/>
      <c r="F60" s="19"/>
      <c r="G60" s="19">
        <f t="shared" si="7"/>
        <v>0</v>
      </c>
    </row>
    <row r="61" spans="2:7" hidden="1" outlineLevel="1" x14ac:dyDescent="0.3">
      <c r="B61" s="10" t="s">
        <v>99</v>
      </c>
      <c r="C61" s="19"/>
      <c r="D61" s="19"/>
      <c r="E61" s="19"/>
      <c r="F61" s="19"/>
      <c r="G61" s="19">
        <f t="shared" si="7"/>
        <v>0</v>
      </c>
    </row>
    <row r="62" spans="2:7" hidden="1" outlineLevel="1" x14ac:dyDescent="0.3">
      <c r="B62" s="10" t="s">
        <v>100</v>
      </c>
      <c r="C62" s="19"/>
      <c r="D62" s="19"/>
      <c r="E62" s="19"/>
      <c r="F62" s="19"/>
      <c r="G62" s="19">
        <f t="shared" si="7"/>
        <v>0</v>
      </c>
    </row>
    <row r="63" spans="2:7" hidden="1" outlineLevel="1" x14ac:dyDescent="0.3">
      <c r="B63" s="10" t="s">
        <v>101</v>
      </c>
      <c r="C63" s="19"/>
      <c r="D63" s="19"/>
      <c r="E63" s="19"/>
      <c r="F63" s="19"/>
      <c r="G63" s="19">
        <f t="shared" si="7"/>
        <v>0</v>
      </c>
    </row>
    <row r="64" spans="2:7" hidden="1" outlineLevel="1" x14ac:dyDescent="0.3">
      <c r="B64" s="10" t="s">
        <v>102</v>
      </c>
      <c r="C64" s="19"/>
      <c r="D64" s="19"/>
      <c r="E64" s="19"/>
      <c r="F64" s="19"/>
      <c r="G64" s="19">
        <f t="shared" si="7"/>
        <v>0</v>
      </c>
    </row>
    <row r="65" spans="2:7" hidden="1" outlineLevel="1" x14ac:dyDescent="0.3">
      <c r="B65" s="10" t="s">
        <v>103</v>
      </c>
      <c r="C65" s="19"/>
      <c r="D65" s="19"/>
      <c r="E65" s="19"/>
      <c r="F65" s="19"/>
      <c r="G65" s="19">
        <f t="shared" si="7"/>
        <v>0</v>
      </c>
    </row>
    <row r="66" spans="2:7" hidden="1" outlineLevel="1" x14ac:dyDescent="0.3">
      <c r="B66" s="10" t="s">
        <v>104</v>
      </c>
      <c r="C66" s="19"/>
      <c r="D66" s="19"/>
      <c r="E66" s="19"/>
      <c r="F66" s="19"/>
      <c r="G66" s="19">
        <f t="shared" si="7"/>
        <v>0</v>
      </c>
    </row>
    <row r="67" spans="2:7" hidden="1" outlineLevel="1" x14ac:dyDescent="0.3">
      <c r="B67" s="10" t="s">
        <v>105</v>
      </c>
      <c r="C67" s="19"/>
      <c r="D67" s="19"/>
      <c r="E67" s="19"/>
      <c r="F67" s="19"/>
      <c r="G67" s="19">
        <f t="shared" si="7"/>
        <v>0</v>
      </c>
    </row>
    <row r="68" spans="2:7" hidden="1" outlineLevel="1" x14ac:dyDescent="0.3">
      <c r="B68" s="10" t="s">
        <v>106</v>
      </c>
      <c r="C68" s="19"/>
      <c r="D68" s="19"/>
      <c r="E68" s="19"/>
      <c r="F68" s="19"/>
      <c r="G68" s="19">
        <f t="shared" si="7"/>
        <v>0</v>
      </c>
    </row>
    <row r="69" spans="2:7" hidden="1" outlineLevel="1" x14ac:dyDescent="0.3">
      <c r="B69" s="10" t="s">
        <v>108</v>
      </c>
      <c r="C69" s="19"/>
      <c r="D69" s="19"/>
      <c r="E69" s="19"/>
      <c r="F69" s="19"/>
      <c r="G69" s="19">
        <f t="shared" si="7"/>
        <v>0</v>
      </c>
    </row>
    <row r="70" spans="2:7" hidden="1" outlineLevel="1" x14ac:dyDescent="0.3">
      <c r="B70" s="10" t="s">
        <v>109</v>
      </c>
      <c r="C70" s="19"/>
      <c r="D70" s="19"/>
      <c r="E70" s="19"/>
      <c r="F70" s="19"/>
      <c r="G70" s="19">
        <f t="shared" si="7"/>
        <v>0</v>
      </c>
    </row>
    <row r="71" spans="2:7" hidden="1" outlineLevel="1" x14ac:dyDescent="0.3">
      <c r="B71" s="10" t="s">
        <v>110</v>
      </c>
      <c r="C71" s="19"/>
      <c r="D71" s="19"/>
      <c r="E71" s="19"/>
      <c r="F71" s="19"/>
      <c r="G71" s="19">
        <f t="shared" si="7"/>
        <v>0</v>
      </c>
    </row>
    <row r="72" spans="2:7" hidden="1" outlineLevel="1" x14ac:dyDescent="0.3">
      <c r="B72" s="10" t="s">
        <v>111</v>
      </c>
      <c r="C72" s="19"/>
      <c r="D72" s="19"/>
      <c r="E72" s="19"/>
      <c r="F72" s="19"/>
      <c r="G72" s="19">
        <f t="shared" si="7"/>
        <v>0</v>
      </c>
    </row>
    <row r="73" spans="2:7" hidden="1" outlineLevel="1" x14ac:dyDescent="0.3">
      <c r="B73" s="10" t="s">
        <v>112</v>
      </c>
      <c r="C73" s="19"/>
      <c r="D73" s="19"/>
      <c r="E73" s="19"/>
      <c r="F73" s="19"/>
      <c r="G73" s="19">
        <f t="shared" si="7"/>
        <v>0</v>
      </c>
    </row>
    <row r="74" spans="2:7" hidden="1" outlineLevel="1" x14ac:dyDescent="0.3">
      <c r="B74" s="10" t="s">
        <v>113</v>
      </c>
      <c r="C74" s="19"/>
      <c r="D74" s="19"/>
      <c r="E74" s="19"/>
      <c r="F74" s="19"/>
      <c r="G74" s="19">
        <f t="shared" si="7"/>
        <v>0</v>
      </c>
    </row>
    <row r="75" spans="2:7" hidden="1" outlineLevel="1" x14ac:dyDescent="0.3">
      <c r="B75" s="10" t="s">
        <v>114</v>
      </c>
      <c r="C75" s="19"/>
      <c r="D75" s="19"/>
      <c r="E75" s="19"/>
      <c r="F75" s="19"/>
      <c r="G75" s="19">
        <f t="shared" si="7"/>
        <v>0</v>
      </c>
    </row>
    <row r="76" spans="2:7" hidden="1" outlineLevel="1" x14ac:dyDescent="0.3">
      <c r="B76" s="10" t="s">
        <v>117</v>
      </c>
      <c r="C76" s="19"/>
      <c r="D76" s="19"/>
      <c r="E76" s="19"/>
      <c r="F76" s="19"/>
      <c r="G76" s="19">
        <f t="shared" si="7"/>
        <v>0</v>
      </c>
    </row>
    <row r="77" spans="2:7" hidden="1" outlineLevel="1" x14ac:dyDescent="0.3">
      <c r="B77" s="10" t="s">
        <v>118</v>
      </c>
      <c r="C77" s="19"/>
      <c r="D77" s="19"/>
      <c r="E77" s="19"/>
      <c r="F77" s="19"/>
      <c r="G77" s="19">
        <f t="shared" si="7"/>
        <v>0</v>
      </c>
    </row>
    <row r="78" spans="2:7" hidden="1" outlineLevel="1" x14ac:dyDescent="0.3">
      <c r="B78" s="10" t="s">
        <v>119</v>
      </c>
      <c r="C78" s="19"/>
      <c r="D78" s="19"/>
      <c r="E78" s="19"/>
      <c r="F78" s="19"/>
      <c r="G78" s="19">
        <f t="shared" si="7"/>
        <v>0</v>
      </c>
    </row>
    <row r="79" spans="2:7" collapsed="1" x14ac:dyDescent="0.3">
      <c r="B79" s="8" t="s">
        <v>13</v>
      </c>
      <c r="C79" s="96">
        <f>SUM(C80:C86)</f>
        <v>0</v>
      </c>
      <c r="D79" s="96">
        <f t="shared" ref="D79:F79" si="8">SUM(D80:D86)</f>
        <v>0</v>
      </c>
      <c r="E79" s="96">
        <f t="shared" si="8"/>
        <v>0</v>
      </c>
      <c r="F79" s="96">
        <f t="shared" si="8"/>
        <v>0</v>
      </c>
      <c r="G79" s="96">
        <f t="shared" si="7"/>
        <v>0</v>
      </c>
    </row>
    <row r="80" spans="2:7" hidden="1" outlineLevel="1" x14ac:dyDescent="0.3">
      <c r="B80" s="10" t="s">
        <v>120</v>
      </c>
      <c r="C80" s="19"/>
      <c r="D80" s="19"/>
      <c r="E80" s="19"/>
      <c r="F80" s="19"/>
      <c r="G80" s="19">
        <f t="shared" si="7"/>
        <v>0</v>
      </c>
    </row>
    <row r="81" spans="2:7" hidden="1" outlineLevel="1" x14ac:dyDescent="0.3">
      <c r="B81" s="10" t="s">
        <v>250</v>
      </c>
      <c r="C81" s="19"/>
      <c r="D81" s="19"/>
      <c r="E81" s="19"/>
      <c r="F81" s="19"/>
      <c r="G81" s="19">
        <f t="shared" si="7"/>
        <v>0</v>
      </c>
    </row>
    <row r="82" spans="2:7" hidden="1" outlineLevel="1" x14ac:dyDescent="0.3">
      <c r="B82" s="10" t="s">
        <v>121</v>
      </c>
      <c r="C82" s="19"/>
      <c r="D82" s="19"/>
      <c r="E82" s="19"/>
      <c r="F82" s="19"/>
      <c r="G82" s="19">
        <f t="shared" si="7"/>
        <v>0</v>
      </c>
    </row>
    <row r="83" spans="2:7" hidden="1" outlineLevel="1" x14ac:dyDescent="0.3">
      <c r="B83" s="10" t="s">
        <v>122</v>
      </c>
      <c r="C83" s="19"/>
      <c r="D83" s="19"/>
      <c r="E83" s="19"/>
      <c r="F83" s="19"/>
      <c r="G83" s="19">
        <f t="shared" si="7"/>
        <v>0</v>
      </c>
    </row>
    <row r="84" spans="2:7" hidden="1" outlineLevel="1" x14ac:dyDescent="0.3">
      <c r="B84" s="10" t="s">
        <v>123</v>
      </c>
      <c r="C84" s="19"/>
      <c r="D84" s="19"/>
      <c r="E84" s="19"/>
      <c r="F84" s="19"/>
      <c r="G84" s="19">
        <f t="shared" si="7"/>
        <v>0</v>
      </c>
    </row>
    <row r="85" spans="2:7" hidden="1" outlineLevel="1" x14ac:dyDescent="0.3">
      <c r="B85" s="10" t="s">
        <v>124</v>
      </c>
      <c r="C85" s="19"/>
      <c r="D85" s="19"/>
      <c r="E85" s="19"/>
      <c r="F85" s="19"/>
      <c r="G85" s="19">
        <f t="shared" si="7"/>
        <v>0</v>
      </c>
    </row>
    <row r="86" spans="2:7" hidden="1" outlineLevel="1" x14ac:dyDescent="0.3">
      <c r="B86" s="10" t="s">
        <v>125</v>
      </c>
      <c r="C86" s="19"/>
      <c r="D86" s="19"/>
      <c r="E86" s="19"/>
      <c r="F86" s="19"/>
      <c r="G86" s="19">
        <f t="shared" ref="G86:G87" si="9">SUM(C86:F86)</f>
        <v>0</v>
      </c>
    </row>
    <row r="87" spans="2:7" collapsed="1" x14ac:dyDescent="0.3">
      <c r="B87" s="68" t="s">
        <v>18</v>
      </c>
      <c r="C87" s="97">
        <f>C22+C34+C79</f>
        <v>3255869</v>
      </c>
      <c r="D87" s="97">
        <f t="shared" ref="D87:F87" si="10">D22+D34+D79</f>
        <v>556250</v>
      </c>
      <c r="E87" s="97">
        <f t="shared" si="10"/>
        <v>682250</v>
      </c>
      <c r="F87" s="97">
        <f t="shared" si="10"/>
        <v>469390</v>
      </c>
      <c r="G87" s="97">
        <f t="shared" si="9"/>
        <v>4963759</v>
      </c>
    </row>
    <row r="88" spans="2:7" x14ac:dyDescent="0.3">
      <c r="B88" s="5"/>
      <c r="C88" s="94"/>
      <c r="D88" s="94"/>
      <c r="E88" s="94"/>
      <c r="F88" s="94"/>
      <c r="G88" s="94"/>
    </row>
    <row r="89" spans="2:7" ht="16.2" thickBot="1" x14ac:dyDescent="0.35">
      <c r="B89" s="12" t="s">
        <v>20</v>
      </c>
      <c r="C89" s="98">
        <f>C18+C87</f>
        <v>712196</v>
      </c>
      <c r="D89" s="98">
        <f t="shared" ref="D89:F89" si="11">D18+D87</f>
        <v>238802</v>
      </c>
      <c r="E89" s="98">
        <f t="shared" si="11"/>
        <v>141983</v>
      </c>
      <c r="F89" s="98">
        <f t="shared" si="11"/>
        <v>469390</v>
      </c>
      <c r="G89" s="98">
        <f>SUM(C89:F89)</f>
        <v>1562371</v>
      </c>
    </row>
    <row r="90" spans="2:7" ht="15" thickTop="1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53D81-4D3B-466D-9A83-8CEF03C13968}">
  <dimension ref="B2:AB47"/>
  <sheetViews>
    <sheetView workbookViewId="0">
      <selection activeCell="AB28" sqref="AB28"/>
    </sheetView>
  </sheetViews>
  <sheetFormatPr baseColWidth="10" defaultRowHeight="14.4" outlineLevelRow="1" outlineLevelCol="1" x14ac:dyDescent="0.3"/>
  <cols>
    <col min="2" max="2" width="50.5546875" bestFit="1" customWidth="1"/>
    <col min="3" max="6" width="11.109375" hidden="1" customWidth="1" outlineLevel="1"/>
    <col min="7" max="7" width="10.44140625" hidden="1" customWidth="1" outlineLevel="1"/>
    <col min="8" max="8" width="8.109375" hidden="1" customWidth="1" outlineLevel="1"/>
    <col min="9" max="9" width="8.88671875" hidden="1" customWidth="1" outlineLevel="1"/>
    <col min="10" max="10" width="6.88671875" hidden="1" customWidth="1" outlineLevel="1"/>
    <col min="11" max="11" width="10" hidden="1" customWidth="1" outlineLevel="1"/>
    <col min="12" max="12" width="6" hidden="1" customWidth="1" outlineLevel="1"/>
    <col min="13" max="13" width="6.6640625" hidden="1" customWidth="1" outlineLevel="1"/>
    <col min="14" max="14" width="8.109375" hidden="1" customWidth="1" outlineLevel="1"/>
    <col min="15" max="15" width="10.88671875" bestFit="1" customWidth="1" collapsed="1"/>
    <col min="16" max="16" width="8.109375" bestFit="1" customWidth="1" outlineLevel="1"/>
    <col min="17" max="17" width="10" bestFit="1" customWidth="1" outlineLevel="1"/>
    <col min="18" max="18" width="8.109375" bestFit="1" customWidth="1" outlineLevel="1"/>
    <col min="19" max="19" width="7.5546875" bestFit="1" customWidth="1" outlineLevel="1"/>
    <col min="20" max="20" width="8.109375" bestFit="1" customWidth="1" outlineLevel="1"/>
    <col min="21" max="21" width="10" bestFit="1" customWidth="1" outlineLevel="1"/>
    <col min="22" max="22" width="6" bestFit="1" customWidth="1" outlineLevel="1"/>
    <col min="23" max="23" width="7.109375" bestFit="1" customWidth="1" outlineLevel="1"/>
    <col min="24" max="24" width="10.88671875" bestFit="1" customWidth="1" outlineLevel="1"/>
    <col min="25" max="25" width="10" bestFit="1" customWidth="1" outlineLevel="1"/>
    <col min="26" max="26" width="10.44140625" bestFit="1" customWidth="1" outlineLevel="1"/>
    <col min="27" max="27" width="10.109375" bestFit="1" customWidth="1" outlineLevel="1"/>
    <col min="28" max="28" width="14.88671875" bestFit="1" customWidth="1"/>
  </cols>
  <sheetData>
    <row r="2" spans="2:28" ht="25.8" x14ac:dyDescent="0.5">
      <c r="B2" s="1" t="s">
        <v>0</v>
      </c>
    </row>
    <row r="4" spans="2:28" ht="15.6" x14ac:dyDescent="0.3">
      <c r="B4" s="2" t="s">
        <v>236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 t="s">
        <v>1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 t="s">
        <v>154</v>
      </c>
    </row>
    <row r="5" spans="2:28" x14ac:dyDescent="0.3">
      <c r="B5" s="4"/>
      <c r="C5" s="14">
        <v>44470</v>
      </c>
      <c r="D5" s="14">
        <v>44501</v>
      </c>
      <c r="E5" s="14">
        <v>44531</v>
      </c>
      <c r="F5" s="14">
        <v>44562</v>
      </c>
      <c r="G5" s="14">
        <v>44593</v>
      </c>
      <c r="H5" s="14">
        <v>44621</v>
      </c>
      <c r="I5" s="14">
        <v>44652</v>
      </c>
      <c r="J5" s="14">
        <v>44682</v>
      </c>
      <c r="K5" s="14">
        <v>44713</v>
      </c>
      <c r="L5" s="14">
        <v>44743</v>
      </c>
      <c r="M5" s="14">
        <v>44774</v>
      </c>
      <c r="N5" s="14">
        <v>44805</v>
      </c>
      <c r="O5" s="14" t="s">
        <v>237</v>
      </c>
      <c r="P5" s="14" t="s">
        <v>142</v>
      </c>
      <c r="Q5" s="14" t="s">
        <v>143</v>
      </c>
      <c r="R5" s="14" t="s">
        <v>144</v>
      </c>
      <c r="S5" s="14" t="s">
        <v>145</v>
      </c>
      <c r="T5" s="14" t="s">
        <v>146</v>
      </c>
      <c r="U5" s="14" t="s">
        <v>147</v>
      </c>
      <c r="V5" s="14" t="s">
        <v>148</v>
      </c>
      <c r="W5" s="14" t="s">
        <v>149</v>
      </c>
      <c r="X5" s="61" t="s">
        <v>150</v>
      </c>
      <c r="Y5" s="61" t="s">
        <v>151</v>
      </c>
      <c r="Z5" s="61" t="s">
        <v>152</v>
      </c>
      <c r="AA5" s="61" t="s">
        <v>153</v>
      </c>
      <c r="AB5" s="61" t="s">
        <v>157</v>
      </c>
    </row>
    <row r="6" spans="2:28" x14ac:dyDescent="0.3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 ht="21" x14ac:dyDescent="0.4">
      <c r="B7" s="6" t="s">
        <v>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collapsed="1" x14ac:dyDescent="0.3">
      <c r="B8" s="8" t="s">
        <v>4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-20550</v>
      </c>
      <c r="L8" s="9">
        <v>0</v>
      </c>
      <c r="M8" s="9">
        <v>0</v>
      </c>
      <c r="N8" s="9">
        <v>0</v>
      </c>
      <c r="O8" s="9">
        <v>-20550</v>
      </c>
      <c r="P8" s="9">
        <f>SUM(P9:P11)</f>
        <v>0</v>
      </c>
      <c r="Q8" s="9">
        <f t="shared" ref="Q8:AA8" si="0">SUM(Q9:Q11)</f>
        <v>-30000</v>
      </c>
      <c r="R8" s="9">
        <f t="shared" si="0"/>
        <v>0</v>
      </c>
      <c r="S8" s="9">
        <f t="shared" si="0"/>
        <v>0</v>
      </c>
      <c r="T8" s="9">
        <f t="shared" si="0"/>
        <v>0</v>
      </c>
      <c r="U8" s="9">
        <f t="shared" si="0"/>
        <v>-20000</v>
      </c>
      <c r="V8" s="9">
        <f t="shared" si="0"/>
        <v>0</v>
      </c>
      <c r="W8" s="9">
        <f t="shared" si="0"/>
        <v>0</v>
      </c>
      <c r="X8" s="9">
        <f t="shared" si="0"/>
        <v>-30000</v>
      </c>
      <c r="Y8" s="9">
        <f t="shared" si="0"/>
        <v>-8000</v>
      </c>
      <c r="Z8" s="9">
        <f t="shared" si="0"/>
        <v>0</v>
      </c>
      <c r="AA8" s="9">
        <f t="shared" si="0"/>
        <v>-1802</v>
      </c>
      <c r="AB8" s="24">
        <f>SUM(P8:AA8)</f>
        <v>-89802</v>
      </c>
    </row>
    <row r="9" spans="2:28" outlineLevel="1" x14ac:dyDescent="0.3">
      <c r="B9" s="10" t="s">
        <v>23</v>
      </c>
      <c r="C9" s="11">
        <v>0</v>
      </c>
      <c r="D9" s="11">
        <v>0</v>
      </c>
      <c r="E9" s="11">
        <v>0</v>
      </c>
      <c r="F9" s="11"/>
      <c r="G9" s="11"/>
      <c r="H9" s="11"/>
      <c r="I9" s="11"/>
      <c r="J9" s="11"/>
      <c r="K9" s="11">
        <v>-20550</v>
      </c>
      <c r="L9" s="11">
        <v>0</v>
      </c>
      <c r="M9" s="11"/>
      <c r="N9" s="11"/>
      <c r="O9" s="11">
        <v>-20550</v>
      </c>
      <c r="P9" s="11"/>
      <c r="Q9" s="11"/>
      <c r="R9" s="11"/>
      <c r="S9" s="11"/>
      <c r="T9" s="11"/>
      <c r="U9" s="11">
        <v>-20000</v>
      </c>
      <c r="V9" s="11"/>
      <c r="W9" s="11"/>
      <c r="X9" s="11"/>
      <c r="Y9" s="11">
        <v>-8000</v>
      </c>
      <c r="Z9" s="11"/>
      <c r="AA9" s="11"/>
      <c r="AB9" s="11">
        <f t="shared" ref="AB9:AB46" si="1">SUM(P9:AA9)</f>
        <v>-28000</v>
      </c>
    </row>
    <row r="10" spans="2:28" outlineLevel="1" collapsed="1" x14ac:dyDescent="0.3">
      <c r="B10" s="10" t="s">
        <v>25</v>
      </c>
      <c r="C10" s="11">
        <v>0</v>
      </c>
      <c r="D10" s="11">
        <v>0</v>
      </c>
      <c r="E10" s="11">
        <v>0</v>
      </c>
      <c r="F10" s="11"/>
      <c r="G10" s="11"/>
      <c r="H10" s="11"/>
      <c r="I10" s="11"/>
      <c r="J10" s="11"/>
      <c r="K10" s="11"/>
      <c r="L10" s="11"/>
      <c r="M10" s="11"/>
      <c r="N10" s="11"/>
      <c r="O10" s="11">
        <v>0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>
        <v>-1802</v>
      </c>
      <c r="AB10" s="11">
        <f t="shared" si="1"/>
        <v>-1802</v>
      </c>
    </row>
    <row r="11" spans="2:28" outlineLevel="1" collapsed="1" x14ac:dyDescent="0.3">
      <c r="B11" s="10" t="s">
        <v>173</v>
      </c>
      <c r="C11" s="11">
        <v>0</v>
      </c>
      <c r="D11" s="11">
        <v>0</v>
      </c>
      <c r="E11" s="11">
        <v>0</v>
      </c>
      <c r="F11" s="11"/>
      <c r="G11" s="11"/>
      <c r="H11" s="11"/>
      <c r="I11" s="11"/>
      <c r="J11" s="11"/>
      <c r="K11" s="11"/>
      <c r="L11" s="11"/>
      <c r="M11" s="11"/>
      <c r="N11" s="11"/>
      <c r="O11" s="11">
        <v>0</v>
      </c>
      <c r="P11" s="11"/>
      <c r="Q11" s="11">
        <v>-30000</v>
      </c>
      <c r="R11" s="11"/>
      <c r="S11" s="11"/>
      <c r="T11" s="11"/>
      <c r="U11" s="11"/>
      <c r="V11" s="11"/>
      <c r="W11" s="11"/>
      <c r="X11" s="11">
        <v>-30000</v>
      </c>
      <c r="Y11" s="11"/>
      <c r="Z11" s="11"/>
      <c r="AA11" s="11"/>
      <c r="AB11" s="11">
        <f t="shared" si="1"/>
        <v>-60000</v>
      </c>
    </row>
    <row r="12" spans="2:28" x14ac:dyDescent="0.3">
      <c r="B12" s="8" t="s">
        <v>5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-25000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-25000</v>
      </c>
      <c r="P12" s="9">
        <f>SUM(P13:P14)</f>
        <v>0</v>
      </c>
      <c r="Q12" s="9">
        <f t="shared" ref="Q12:AA12" si="2">SUM(Q13:Q14)</f>
        <v>0</v>
      </c>
      <c r="R12" s="9">
        <f t="shared" si="2"/>
        <v>0</v>
      </c>
      <c r="S12" s="9">
        <f t="shared" si="2"/>
        <v>0</v>
      </c>
      <c r="T12" s="9">
        <f t="shared" si="2"/>
        <v>0</v>
      </c>
      <c r="U12" s="9">
        <f t="shared" si="2"/>
        <v>0</v>
      </c>
      <c r="V12" s="9">
        <f t="shared" si="2"/>
        <v>0</v>
      </c>
      <c r="W12" s="9">
        <f t="shared" si="2"/>
        <v>0</v>
      </c>
      <c r="X12" s="9">
        <f t="shared" si="2"/>
        <v>0</v>
      </c>
      <c r="Y12" s="9">
        <f t="shared" si="2"/>
        <v>-4505</v>
      </c>
      <c r="Z12" s="9">
        <f t="shared" si="2"/>
        <v>0</v>
      </c>
      <c r="AA12" s="9">
        <f t="shared" si="2"/>
        <v>0</v>
      </c>
      <c r="AB12" s="24">
        <f t="shared" si="1"/>
        <v>-4505</v>
      </c>
    </row>
    <row r="13" spans="2:28" outlineLevel="1" x14ac:dyDescent="0.3">
      <c r="B13" s="10" t="s">
        <v>30</v>
      </c>
      <c r="C13" s="11">
        <v>0</v>
      </c>
      <c r="D13" s="11">
        <v>0</v>
      </c>
      <c r="E13" s="11">
        <v>0</v>
      </c>
      <c r="F13" s="11"/>
      <c r="G13" s="11"/>
      <c r="H13" s="11"/>
      <c r="I13" s="11">
        <v>-25000</v>
      </c>
      <c r="J13" s="11"/>
      <c r="K13" s="11"/>
      <c r="L13" s="11"/>
      <c r="M13" s="11"/>
      <c r="N13" s="11"/>
      <c r="O13" s="11">
        <v>-25000</v>
      </c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>
        <f t="shared" si="1"/>
        <v>0</v>
      </c>
    </row>
    <row r="14" spans="2:28" outlineLevel="1" collapsed="1" x14ac:dyDescent="0.3">
      <c r="B14" s="10" t="s">
        <v>32</v>
      </c>
      <c r="C14" s="11">
        <v>0</v>
      </c>
      <c r="D14" s="11">
        <v>0</v>
      </c>
      <c r="E14" s="11">
        <v>0</v>
      </c>
      <c r="F14" s="11"/>
      <c r="G14" s="11"/>
      <c r="H14" s="11"/>
      <c r="I14" s="11"/>
      <c r="J14" s="11"/>
      <c r="K14" s="11"/>
      <c r="L14" s="11"/>
      <c r="M14" s="11"/>
      <c r="N14" s="11"/>
      <c r="O14" s="11">
        <v>0</v>
      </c>
      <c r="P14" s="11"/>
      <c r="Q14" s="11"/>
      <c r="R14" s="11"/>
      <c r="S14" s="11"/>
      <c r="T14" s="11"/>
      <c r="U14" s="11"/>
      <c r="V14" s="11"/>
      <c r="W14" s="11"/>
      <c r="X14" s="11"/>
      <c r="Y14" s="11">
        <v>-4505</v>
      </c>
      <c r="Z14" s="11"/>
      <c r="AA14" s="11"/>
      <c r="AB14" s="11">
        <f t="shared" si="1"/>
        <v>-4505</v>
      </c>
    </row>
    <row r="15" spans="2:28" x14ac:dyDescent="0.3">
      <c r="B15" s="8" t="s">
        <v>6</v>
      </c>
      <c r="C15" s="9">
        <v>0</v>
      </c>
      <c r="D15" s="9"/>
      <c r="E15" s="9"/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/>
      <c r="Q15" s="9"/>
      <c r="R15" s="9"/>
      <c r="S15" s="9"/>
      <c r="T15" s="9"/>
      <c r="U15" s="9"/>
      <c r="V15" s="9"/>
      <c r="W15" s="9"/>
      <c r="X15" s="24"/>
      <c r="Y15" s="24"/>
      <c r="Z15" s="24"/>
      <c r="AA15" s="24"/>
      <c r="AB15" s="24">
        <f t="shared" si="1"/>
        <v>0</v>
      </c>
    </row>
    <row r="16" spans="2:28" collapsed="1" x14ac:dyDescent="0.3">
      <c r="B16" s="8" t="s">
        <v>7</v>
      </c>
      <c r="C16" s="9">
        <v>0</v>
      </c>
      <c r="D16" s="9">
        <v>0</v>
      </c>
      <c r="E16" s="9">
        <v>0</v>
      </c>
      <c r="F16" s="9">
        <v>-200000</v>
      </c>
      <c r="G16" s="9">
        <v>-143910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-343910</v>
      </c>
      <c r="P16" s="9">
        <f>P17</f>
        <v>0</v>
      </c>
      <c r="Q16" s="9">
        <f t="shared" ref="Q16:AA16" si="3">Q17</f>
        <v>0</v>
      </c>
      <c r="R16" s="9">
        <f t="shared" si="3"/>
        <v>0</v>
      </c>
      <c r="S16" s="9">
        <f t="shared" si="3"/>
        <v>-3000</v>
      </c>
      <c r="T16" s="9">
        <f t="shared" si="3"/>
        <v>0</v>
      </c>
      <c r="U16" s="9">
        <f t="shared" si="3"/>
        <v>0</v>
      </c>
      <c r="V16" s="9">
        <f t="shared" si="3"/>
        <v>0</v>
      </c>
      <c r="W16" s="9">
        <f t="shared" si="3"/>
        <v>0</v>
      </c>
      <c r="X16" s="9">
        <f t="shared" si="3"/>
        <v>0</v>
      </c>
      <c r="Y16" s="9">
        <f t="shared" si="3"/>
        <v>-3000</v>
      </c>
      <c r="Z16" s="9">
        <f t="shared" si="3"/>
        <v>0</v>
      </c>
      <c r="AA16" s="9">
        <f t="shared" si="3"/>
        <v>0</v>
      </c>
      <c r="AB16" s="24">
        <f t="shared" si="1"/>
        <v>-6000</v>
      </c>
    </row>
    <row r="17" spans="2:28" outlineLevel="1" x14ac:dyDescent="0.3">
      <c r="B17" s="10" t="s">
        <v>42</v>
      </c>
      <c r="C17" s="11">
        <v>0</v>
      </c>
      <c r="D17" s="11">
        <v>0</v>
      </c>
      <c r="E17" s="11">
        <v>0</v>
      </c>
      <c r="F17" s="11">
        <v>-200000</v>
      </c>
      <c r="G17" s="11">
        <v>-143910</v>
      </c>
      <c r="H17" s="11"/>
      <c r="I17" s="11"/>
      <c r="J17" s="11"/>
      <c r="K17" s="11"/>
      <c r="L17" s="11"/>
      <c r="M17" s="11"/>
      <c r="N17" s="11"/>
      <c r="O17" s="11">
        <v>-343910</v>
      </c>
      <c r="P17" s="11"/>
      <c r="Q17" s="11"/>
      <c r="R17" s="11"/>
      <c r="S17" s="11">
        <v>-3000</v>
      </c>
      <c r="T17" s="11"/>
      <c r="U17" s="11"/>
      <c r="V17" s="11"/>
      <c r="W17" s="11"/>
      <c r="X17" s="11"/>
      <c r="Y17" s="11">
        <v>-3000</v>
      </c>
      <c r="Z17" s="11"/>
      <c r="AA17" s="11"/>
      <c r="AB17" s="11">
        <f t="shared" si="1"/>
        <v>-6000</v>
      </c>
    </row>
    <row r="18" spans="2:28" x14ac:dyDescent="0.3">
      <c r="B18" s="15" t="s">
        <v>8</v>
      </c>
      <c r="C18" s="16">
        <v>0</v>
      </c>
      <c r="D18" s="16">
        <v>0</v>
      </c>
      <c r="E18" s="16">
        <v>0</v>
      </c>
      <c r="F18" s="16">
        <v>-200000</v>
      </c>
      <c r="G18" s="16">
        <v>-143910</v>
      </c>
      <c r="H18" s="16">
        <v>0</v>
      </c>
      <c r="I18" s="16">
        <v>-25000</v>
      </c>
      <c r="J18" s="16">
        <v>0</v>
      </c>
      <c r="K18" s="16">
        <v>-20550</v>
      </c>
      <c r="L18" s="16">
        <v>0</v>
      </c>
      <c r="M18" s="16">
        <v>0</v>
      </c>
      <c r="N18" s="16">
        <v>0</v>
      </c>
      <c r="O18" s="16">
        <v>-389460</v>
      </c>
      <c r="P18" s="16">
        <f>P8+P12+P15+P16</f>
        <v>0</v>
      </c>
      <c r="Q18" s="16">
        <f t="shared" ref="Q18:AA18" si="4">Q8+Q12+Q15+Q16</f>
        <v>-30000</v>
      </c>
      <c r="R18" s="16">
        <f t="shared" si="4"/>
        <v>0</v>
      </c>
      <c r="S18" s="16">
        <f t="shared" si="4"/>
        <v>-3000</v>
      </c>
      <c r="T18" s="16">
        <f t="shared" si="4"/>
        <v>0</v>
      </c>
      <c r="U18" s="16">
        <f t="shared" si="4"/>
        <v>-20000</v>
      </c>
      <c r="V18" s="16">
        <f t="shared" si="4"/>
        <v>0</v>
      </c>
      <c r="W18" s="16">
        <f t="shared" si="4"/>
        <v>0</v>
      </c>
      <c r="X18" s="16">
        <f t="shared" si="4"/>
        <v>-30000</v>
      </c>
      <c r="Y18" s="16">
        <f t="shared" si="4"/>
        <v>-15505</v>
      </c>
      <c r="Z18" s="16">
        <f t="shared" si="4"/>
        <v>0</v>
      </c>
      <c r="AA18" s="16">
        <f t="shared" si="4"/>
        <v>-1802</v>
      </c>
      <c r="AB18" s="25">
        <f t="shared" si="1"/>
        <v>-100307</v>
      </c>
    </row>
    <row r="19" spans="2:28" x14ac:dyDescent="0.3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2:28" x14ac:dyDescent="0.3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2:28" ht="21" x14ac:dyDescent="0.4">
      <c r="B21" s="6" t="s">
        <v>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>
        <v>0</v>
      </c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>
        <f t="shared" si="1"/>
        <v>0</v>
      </c>
    </row>
    <row r="22" spans="2:28" collapsed="1" x14ac:dyDescent="0.3">
      <c r="B22" s="8" t="s">
        <v>10</v>
      </c>
      <c r="C22" s="9">
        <v>0</v>
      </c>
      <c r="D22" s="9">
        <v>3745</v>
      </c>
      <c r="E22" s="9">
        <v>26980</v>
      </c>
      <c r="F22" s="9">
        <v>8871</v>
      </c>
      <c r="G22" s="9">
        <v>295510.07999999996</v>
      </c>
      <c r="H22" s="9">
        <v>0</v>
      </c>
      <c r="I22" s="9">
        <v>15970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351076.07999999996</v>
      </c>
      <c r="P22" s="9">
        <f>SUM(P23:P27)</f>
        <v>0</v>
      </c>
      <c r="Q22" s="9">
        <f t="shared" ref="Q22:AA22" si="5">SUM(Q23:Q27)</f>
        <v>0</v>
      </c>
      <c r="R22" s="9">
        <f t="shared" si="5"/>
        <v>0</v>
      </c>
      <c r="S22" s="9">
        <f t="shared" si="5"/>
        <v>3000</v>
      </c>
      <c r="T22" s="9">
        <f t="shared" si="5"/>
        <v>0</v>
      </c>
      <c r="U22" s="9">
        <f t="shared" si="5"/>
        <v>0</v>
      </c>
      <c r="V22" s="9">
        <f t="shared" si="5"/>
        <v>0</v>
      </c>
      <c r="W22" s="9">
        <f t="shared" si="5"/>
        <v>0</v>
      </c>
      <c r="X22" s="9">
        <f t="shared" si="5"/>
        <v>0</v>
      </c>
      <c r="Y22" s="9">
        <f t="shared" si="5"/>
        <v>3000</v>
      </c>
      <c r="Z22" s="9">
        <f t="shared" si="5"/>
        <v>0</v>
      </c>
      <c r="AA22" s="9">
        <f t="shared" si="5"/>
        <v>0</v>
      </c>
      <c r="AB22" s="24">
        <f t="shared" si="1"/>
        <v>6000</v>
      </c>
    </row>
    <row r="23" spans="2:28" outlineLevel="1" x14ac:dyDescent="0.3">
      <c r="B23" s="10" t="s">
        <v>52</v>
      </c>
      <c r="C23" s="11"/>
      <c r="D23" s="11"/>
      <c r="E23" s="11"/>
      <c r="F23" s="11"/>
      <c r="G23" s="11">
        <v>96767</v>
      </c>
      <c r="H23" s="11"/>
      <c r="I23" s="11">
        <v>677</v>
      </c>
      <c r="J23" s="11"/>
      <c r="K23" s="11"/>
      <c r="L23" s="11"/>
      <c r="M23" s="11"/>
      <c r="N23" s="11"/>
      <c r="O23" s="11">
        <v>97444</v>
      </c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>
        <f t="shared" si="1"/>
        <v>0</v>
      </c>
    </row>
    <row r="24" spans="2:28" outlineLevel="1" collapsed="1" x14ac:dyDescent="0.3">
      <c r="B24" s="10" t="s">
        <v>54</v>
      </c>
      <c r="C24" s="11">
        <v>0</v>
      </c>
      <c r="D24" s="11">
        <v>3145</v>
      </c>
      <c r="E24" s="11">
        <v>26980</v>
      </c>
      <c r="F24" s="11">
        <v>8871</v>
      </c>
      <c r="G24" s="11">
        <v>198743.08</v>
      </c>
      <c r="H24" s="11"/>
      <c r="I24" s="11">
        <v>15293</v>
      </c>
      <c r="J24" s="11"/>
      <c r="K24" s="11"/>
      <c r="L24" s="11"/>
      <c r="M24" s="11"/>
      <c r="N24" s="11"/>
      <c r="O24" s="11">
        <v>253032.08</v>
      </c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>
        <f t="shared" si="1"/>
        <v>0</v>
      </c>
    </row>
    <row r="25" spans="2:28" outlineLevel="1" collapsed="1" x14ac:dyDescent="0.3">
      <c r="B25" s="10" t="s">
        <v>178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>
        <v>0</v>
      </c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>
        <f t="shared" si="1"/>
        <v>0</v>
      </c>
    </row>
    <row r="26" spans="2:28" outlineLevel="1" collapsed="1" x14ac:dyDescent="0.3">
      <c r="B26" s="10" t="s">
        <v>163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>
        <v>0</v>
      </c>
      <c r="P26" s="11"/>
      <c r="Q26" s="11"/>
      <c r="R26" s="11"/>
      <c r="S26" s="11">
        <v>3000</v>
      </c>
      <c r="T26" s="11"/>
      <c r="U26" s="11"/>
      <c r="V26" s="11"/>
      <c r="W26" s="11"/>
      <c r="X26" s="11"/>
      <c r="Y26" s="11">
        <v>3000</v>
      </c>
      <c r="Z26" s="11"/>
      <c r="AA26" s="11"/>
      <c r="AB26" s="11">
        <f t="shared" si="1"/>
        <v>6000</v>
      </c>
    </row>
    <row r="27" spans="2:28" outlineLevel="1" x14ac:dyDescent="0.3">
      <c r="B27" s="10" t="str">
        <f>"4501"&amp;" - "&amp;"Avgift til kretsen"</f>
        <v>4501 - Avgift til kretsen</v>
      </c>
      <c r="C27" s="11">
        <v>0</v>
      </c>
      <c r="D27" s="11">
        <v>600</v>
      </c>
      <c r="E27" s="11">
        <v>0</v>
      </c>
      <c r="F27" s="11"/>
      <c r="G27" s="11"/>
      <c r="H27" s="11"/>
      <c r="I27" s="11"/>
      <c r="J27" s="11"/>
      <c r="K27" s="11"/>
      <c r="L27" s="11"/>
      <c r="M27" s="11"/>
      <c r="N27" s="11"/>
      <c r="O27" s="11">
        <v>600</v>
      </c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>
        <f t="shared" si="1"/>
        <v>0</v>
      </c>
    </row>
    <row r="28" spans="2:28" x14ac:dyDescent="0.3">
      <c r="B28" s="8" t="s">
        <v>11</v>
      </c>
      <c r="C28" s="9">
        <v>0</v>
      </c>
      <c r="D28" s="9">
        <v>0</v>
      </c>
      <c r="E28" s="9">
        <v>1900</v>
      </c>
      <c r="F28" s="9">
        <v>0</v>
      </c>
      <c r="G28" s="9">
        <v>0</v>
      </c>
      <c r="H28" s="9">
        <v>1181</v>
      </c>
      <c r="I28" s="9">
        <v>0</v>
      </c>
      <c r="J28" s="9">
        <v>0</v>
      </c>
      <c r="K28" s="9">
        <v>1181</v>
      </c>
      <c r="L28" s="9">
        <v>0</v>
      </c>
      <c r="M28" s="9">
        <v>0</v>
      </c>
      <c r="N28" s="9">
        <v>1181</v>
      </c>
      <c r="O28" s="9">
        <v>5443</v>
      </c>
      <c r="P28" s="9">
        <f>SUM(P29:P31)</f>
        <v>4000</v>
      </c>
      <c r="Q28" s="9">
        <f t="shared" ref="Q28:AA28" si="6">SUM(Q29:Q31)</f>
        <v>9000</v>
      </c>
      <c r="R28" s="9">
        <f t="shared" si="6"/>
        <v>4507</v>
      </c>
      <c r="S28" s="9">
        <f t="shared" si="6"/>
        <v>4000</v>
      </c>
      <c r="T28" s="9">
        <f t="shared" si="6"/>
        <v>4000</v>
      </c>
      <c r="U28" s="9">
        <f t="shared" si="6"/>
        <v>507</v>
      </c>
      <c r="V28" s="9">
        <f t="shared" si="6"/>
        <v>0</v>
      </c>
      <c r="W28" s="9">
        <f t="shared" si="6"/>
        <v>0</v>
      </c>
      <c r="X28" s="9">
        <f t="shared" si="6"/>
        <v>9507</v>
      </c>
      <c r="Y28" s="9">
        <f t="shared" si="6"/>
        <v>4000</v>
      </c>
      <c r="Z28" s="9">
        <f t="shared" si="6"/>
        <v>4000</v>
      </c>
      <c r="AA28" s="9">
        <f t="shared" si="6"/>
        <v>4507</v>
      </c>
      <c r="AB28" s="24">
        <f t="shared" si="1"/>
        <v>48028</v>
      </c>
    </row>
    <row r="29" spans="2:28" outlineLevel="1" collapsed="1" x14ac:dyDescent="0.3">
      <c r="B29" s="10" t="s">
        <v>66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>
        <v>0</v>
      </c>
      <c r="P29" s="11">
        <v>4000</v>
      </c>
      <c r="Q29" s="11">
        <v>4000</v>
      </c>
      <c r="R29" s="11">
        <v>4000</v>
      </c>
      <c r="S29" s="11">
        <v>4000</v>
      </c>
      <c r="T29" s="11">
        <v>4000</v>
      </c>
      <c r="U29" s="11"/>
      <c r="V29" s="11"/>
      <c r="W29" s="11"/>
      <c r="X29" s="11">
        <v>4000</v>
      </c>
      <c r="Y29" s="11">
        <v>4000</v>
      </c>
      <c r="Z29" s="11">
        <v>4000</v>
      </c>
      <c r="AA29" s="11">
        <v>4000</v>
      </c>
      <c r="AB29" s="11">
        <f>SUM(P29:AA29)</f>
        <v>36000</v>
      </c>
    </row>
    <row r="30" spans="2:28" outlineLevel="1" x14ac:dyDescent="0.3">
      <c r="B30" s="10" t="s">
        <v>165</v>
      </c>
      <c r="C30" s="11"/>
      <c r="D30" s="11"/>
      <c r="E30" s="11"/>
      <c r="F30" s="11"/>
      <c r="G30" s="11"/>
      <c r="H30" s="11">
        <v>1181</v>
      </c>
      <c r="I30" s="11"/>
      <c r="J30" s="11"/>
      <c r="K30" s="11">
        <v>1181</v>
      </c>
      <c r="L30" s="11"/>
      <c r="M30" s="11"/>
      <c r="N30" s="11">
        <v>1181</v>
      </c>
      <c r="O30" s="11">
        <v>3543</v>
      </c>
      <c r="P30" s="11"/>
      <c r="Q30" s="11"/>
      <c r="R30" s="11">
        <v>507</v>
      </c>
      <c r="S30" s="11"/>
      <c r="T30" s="11"/>
      <c r="U30" s="11">
        <v>507</v>
      </c>
      <c r="V30" s="11"/>
      <c r="W30" s="11"/>
      <c r="X30" s="11">
        <v>507</v>
      </c>
      <c r="Y30" s="11"/>
      <c r="Z30" s="11"/>
      <c r="AA30" s="11">
        <v>507</v>
      </c>
      <c r="AB30" s="11">
        <f t="shared" si="1"/>
        <v>2028</v>
      </c>
    </row>
    <row r="31" spans="2:28" outlineLevel="1" collapsed="1" x14ac:dyDescent="0.3">
      <c r="B31" s="10" t="s">
        <v>180</v>
      </c>
      <c r="C31" s="11"/>
      <c r="D31" s="11"/>
      <c r="E31" s="11">
        <v>1900</v>
      </c>
      <c r="F31" s="11"/>
      <c r="G31" s="11"/>
      <c r="H31" s="11"/>
      <c r="I31" s="11"/>
      <c r="J31" s="11"/>
      <c r="K31" s="11"/>
      <c r="L31" s="11"/>
      <c r="M31" s="11"/>
      <c r="N31" s="11"/>
      <c r="O31" s="11">
        <v>0</v>
      </c>
      <c r="P31" s="11"/>
      <c r="Q31" s="11">
        <v>5000</v>
      </c>
      <c r="R31" s="11"/>
      <c r="S31" s="11"/>
      <c r="T31" s="11"/>
      <c r="U31" s="11"/>
      <c r="V31" s="11"/>
      <c r="W31" s="11"/>
      <c r="X31" s="11">
        <v>5000</v>
      </c>
      <c r="Y31" s="11"/>
      <c r="Z31" s="11"/>
      <c r="AA31" s="11"/>
      <c r="AB31" s="11">
        <f t="shared" si="1"/>
        <v>10000</v>
      </c>
    </row>
    <row r="32" spans="2:28" x14ac:dyDescent="0.3">
      <c r="B32" s="8" t="s">
        <v>12</v>
      </c>
      <c r="C32" s="9">
        <v>0</v>
      </c>
      <c r="D32" s="9">
        <v>0</v>
      </c>
      <c r="E32" s="9">
        <v>0</v>
      </c>
      <c r="F32" s="9">
        <v>0</v>
      </c>
      <c r="G32" s="9">
        <v>8883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8780</v>
      </c>
      <c r="O32" s="9">
        <v>17663</v>
      </c>
      <c r="P32" s="9">
        <f>SUM(P33:P34)</f>
        <v>0</v>
      </c>
      <c r="Q32" s="9">
        <f t="shared" ref="Q32:AA32" si="7">SUM(Q33:Q34)</f>
        <v>0</v>
      </c>
      <c r="R32" s="9">
        <f t="shared" si="7"/>
        <v>0</v>
      </c>
      <c r="S32" s="9">
        <f t="shared" si="7"/>
        <v>0</v>
      </c>
      <c r="T32" s="9">
        <f t="shared" si="7"/>
        <v>0</v>
      </c>
      <c r="U32" s="9">
        <f t="shared" si="7"/>
        <v>0</v>
      </c>
      <c r="V32" s="9">
        <f t="shared" si="7"/>
        <v>0</v>
      </c>
      <c r="W32" s="9">
        <f t="shared" si="7"/>
        <v>0</v>
      </c>
      <c r="X32" s="9">
        <f t="shared" si="7"/>
        <v>0</v>
      </c>
      <c r="Y32" s="9">
        <f t="shared" si="7"/>
        <v>0</v>
      </c>
      <c r="Z32" s="9">
        <f t="shared" si="7"/>
        <v>0</v>
      </c>
      <c r="AA32" s="9">
        <f t="shared" si="7"/>
        <v>0</v>
      </c>
      <c r="AB32" s="24">
        <f t="shared" si="1"/>
        <v>0</v>
      </c>
    </row>
    <row r="33" spans="2:28" outlineLevel="1" x14ac:dyDescent="0.3">
      <c r="B33" s="10" t="s">
        <v>88</v>
      </c>
      <c r="C33" s="11"/>
      <c r="D33" s="11"/>
      <c r="E33" s="11"/>
      <c r="F33" s="11"/>
      <c r="G33" s="11">
        <v>8883</v>
      </c>
      <c r="H33" s="11"/>
      <c r="I33" s="11"/>
      <c r="J33" s="11"/>
      <c r="K33" s="11"/>
      <c r="L33" s="11"/>
      <c r="M33" s="11"/>
      <c r="N33" s="11"/>
      <c r="O33" s="11">
        <v>8883</v>
      </c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>
        <f t="shared" si="1"/>
        <v>0</v>
      </c>
    </row>
    <row r="34" spans="2:28" outlineLevel="1" collapsed="1" x14ac:dyDescent="0.3">
      <c r="B34" s="10" t="s">
        <v>111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>
        <v>8780</v>
      </c>
      <c r="O34" s="11">
        <v>8780</v>
      </c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>
        <f t="shared" si="1"/>
        <v>0</v>
      </c>
    </row>
    <row r="35" spans="2:28" x14ac:dyDescent="0.3">
      <c r="B35" s="8" t="s">
        <v>13</v>
      </c>
      <c r="C35" s="9"/>
      <c r="D35" s="9"/>
      <c r="E35" s="9"/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/>
      <c r="Q35" s="9"/>
      <c r="R35" s="9"/>
      <c r="S35" s="9"/>
      <c r="T35" s="9"/>
      <c r="U35" s="9"/>
      <c r="V35" s="9"/>
      <c r="W35" s="9"/>
      <c r="X35" s="24"/>
      <c r="Y35" s="24"/>
      <c r="Z35" s="24"/>
      <c r="AA35" s="24"/>
      <c r="AB35" s="24">
        <f t="shared" si="1"/>
        <v>0</v>
      </c>
    </row>
    <row r="36" spans="2:28" x14ac:dyDescent="0.3">
      <c r="B36" s="8" t="s">
        <v>14</v>
      </c>
      <c r="C36" s="9"/>
      <c r="D36" s="9"/>
      <c r="E36" s="9"/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/>
      <c r="Q36" s="9"/>
      <c r="R36" s="9"/>
      <c r="S36" s="9"/>
      <c r="T36" s="9"/>
      <c r="U36" s="9"/>
      <c r="V36" s="9"/>
      <c r="W36" s="9"/>
      <c r="X36" s="24"/>
      <c r="Y36" s="24"/>
      <c r="Z36" s="24"/>
      <c r="AA36" s="24"/>
      <c r="AB36" s="24">
        <f t="shared" si="1"/>
        <v>0</v>
      </c>
    </row>
    <row r="37" spans="2:28" x14ac:dyDescent="0.3">
      <c r="B37" s="8" t="s">
        <v>15</v>
      </c>
      <c r="C37" s="9"/>
      <c r="D37" s="9"/>
      <c r="E37" s="9"/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/>
      <c r="Q37" s="9"/>
      <c r="R37" s="9"/>
      <c r="S37" s="9"/>
      <c r="T37" s="9"/>
      <c r="U37" s="9"/>
      <c r="V37" s="9"/>
      <c r="W37" s="9"/>
      <c r="X37" s="24"/>
      <c r="Y37" s="24"/>
      <c r="Z37" s="24"/>
      <c r="AA37" s="24"/>
      <c r="AB37" s="24">
        <f t="shared" si="1"/>
        <v>0</v>
      </c>
    </row>
    <row r="38" spans="2:28" x14ac:dyDescent="0.3">
      <c r="B38" s="8" t="s">
        <v>16</v>
      </c>
      <c r="C38" s="9"/>
      <c r="D38" s="9"/>
      <c r="E38" s="9"/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/>
      <c r="Q38" s="9"/>
      <c r="R38" s="9"/>
      <c r="S38" s="9"/>
      <c r="T38" s="9"/>
      <c r="U38" s="9"/>
      <c r="V38" s="9"/>
      <c r="W38" s="9"/>
      <c r="X38" s="24"/>
      <c r="Y38" s="24"/>
      <c r="Z38" s="24"/>
      <c r="AA38" s="24"/>
      <c r="AB38" s="24">
        <f t="shared" si="1"/>
        <v>0</v>
      </c>
    </row>
    <row r="39" spans="2:28" x14ac:dyDescent="0.3">
      <c r="B39" s="8" t="s">
        <v>5</v>
      </c>
      <c r="C39" s="9"/>
      <c r="D39" s="9"/>
      <c r="E39" s="9"/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/>
      <c r="Q39" s="9"/>
      <c r="R39" s="9"/>
      <c r="S39" s="9"/>
      <c r="T39" s="9"/>
      <c r="U39" s="9"/>
      <c r="V39" s="9"/>
      <c r="W39" s="9"/>
      <c r="X39" s="24"/>
      <c r="Y39" s="24"/>
      <c r="Z39" s="24"/>
      <c r="AA39" s="24"/>
      <c r="AB39" s="24">
        <f t="shared" si="1"/>
        <v>0</v>
      </c>
    </row>
    <row r="40" spans="2:28" collapsed="1" x14ac:dyDescent="0.3">
      <c r="B40" s="8" t="s">
        <v>17</v>
      </c>
      <c r="C40" s="9"/>
      <c r="D40" s="9"/>
      <c r="E40" s="9"/>
      <c r="F40" s="9">
        <v>0</v>
      </c>
      <c r="G40" s="9">
        <v>1264.08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1264.08</v>
      </c>
      <c r="P40" s="9">
        <f>P41</f>
        <v>0</v>
      </c>
      <c r="Q40" s="9">
        <f t="shared" ref="Q40:AA40" si="8">Q41</f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si="8"/>
        <v>0</v>
      </c>
      <c r="Y40" s="9">
        <f t="shared" si="8"/>
        <v>0</v>
      </c>
      <c r="Z40" s="9">
        <f t="shared" si="8"/>
        <v>0</v>
      </c>
      <c r="AA40" s="9">
        <f t="shared" si="8"/>
        <v>0</v>
      </c>
      <c r="AB40" s="24">
        <f t="shared" si="1"/>
        <v>0</v>
      </c>
    </row>
    <row r="41" spans="2:28" outlineLevel="1" x14ac:dyDescent="0.3">
      <c r="B41" s="10" t="s">
        <v>183</v>
      </c>
      <c r="C41" s="11"/>
      <c r="D41" s="11"/>
      <c r="E41" s="11"/>
      <c r="F41" s="11"/>
      <c r="G41" s="11">
        <v>1264.08</v>
      </c>
      <c r="H41" s="11"/>
      <c r="I41" s="11"/>
      <c r="J41" s="11"/>
      <c r="K41" s="11"/>
      <c r="L41" s="11"/>
      <c r="M41" s="11"/>
      <c r="N41" s="11"/>
      <c r="O41" s="11">
        <v>1264.08</v>
      </c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>
        <f t="shared" si="1"/>
        <v>0</v>
      </c>
    </row>
    <row r="42" spans="2:28" x14ac:dyDescent="0.3">
      <c r="B42" s="15" t="s">
        <v>18</v>
      </c>
      <c r="C42" s="16">
        <v>0</v>
      </c>
      <c r="D42" s="16">
        <v>3745</v>
      </c>
      <c r="E42" s="16">
        <v>28880</v>
      </c>
      <c r="F42" s="16">
        <v>8871</v>
      </c>
      <c r="G42" s="16">
        <v>305657.15999999997</v>
      </c>
      <c r="H42" s="16">
        <v>1181</v>
      </c>
      <c r="I42" s="16">
        <v>15970</v>
      </c>
      <c r="J42" s="16">
        <v>0</v>
      </c>
      <c r="K42" s="16">
        <v>1181</v>
      </c>
      <c r="L42" s="16">
        <v>0</v>
      </c>
      <c r="M42" s="16">
        <v>0</v>
      </c>
      <c r="N42" s="16">
        <v>9961</v>
      </c>
      <c r="O42" s="16">
        <v>375446.16</v>
      </c>
      <c r="P42" s="16">
        <f t="shared" ref="P42:AA42" si="9">P22+P28+P32+P35+P36+P37+P38+P39+P40</f>
        <v>4000</v>
      </c>
      <c r="Q42" s="16">
        <f t="shared" si="9"/>
        <v>9000</v>
      </c>
      <c r="R42" s="16">
        <f t="shared" si="9"/>
        <v>4507</v>
      </c>
      <c r="S42" s="16">
        <f t="shared" si="9"/>
        <v>7000</v>
      </c>
      <c r="T42" s="16">
        <f t="shared" si="9"/>
        <v>4000</v>
      </c>
      <c r="U42" s="16">
        <f t="shared" si="9"/>
        <v>507</v>
      </c>
      <c r="V42" s="16">
        <f t="shared" si="9"/>
        <v>0</v>
      </c>
      <c r="W42" s="16">
        <f t="shared" si="9"/>
        <v>0</v>
      </c>
      <c r="X42" s="16">
        <f t="shared" si="9"/>
        <v>9507</v>
      </c>
      <c r="Y42" s="16">
        <f t="shared" si="9"/>
        <v>7000</v>
      </c>
      <c r="Z42" s="16">
        <f t="shared" si="9"/>
        <v>4000</v>
      </c>
      <c r="AA42" s="16">
        <f t="shared" si="9"/>
        <v>4507</v>
      </c>
      <c r="AB42" s="25">
        <f t="shared" si="1"/>
        <v>54028</v>
      </c>
    </row>
    <row r="43" spans="2:28" x14ac:dyDescent="0.3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spans="2:28" x14ac:dyDescent="0.3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</row>
    <row r="45" spans="2:28" x14ac:dyDescent="0.3">
      <c r="B45" s="8" t="s">
        <v>19</v>
      </c>
      <c r="C45" s="9"/>
      <c r="D45" s="9"/>
      <c r="E45" s="9"/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/>
      <c r="Q45" s="9"/>
      <c r="R45" s="9"/>
      <c r="S45" s="9"/>
      <c r="T45" s="9"/>
      <c r="U45" s="9"/>
      <c r="V45" s="9"/>
      <c r="W45" s="9"/>
      <c r="X45" s="24"/>
      <c r="Y45" s="24"/>
      <c r="Z45" s="24"/>
      <c r="AA45" s="24"/>
      <c r="AB45" s="24">
        <f t="shared" si="1"/>
        <v>0</v>
      </c>
    </row>
    <row r="46" spans="2:28" ht="16.2" thickBot="1" x14ac:dyDescent="0.35">
      <c r="B46" s="12" t="s">
        <v>20</v>
      </c>
      <c r="C46" s="13">
        <v>0</v>
      </c>
      <c r="D46" s="13">
        <v>3745</v>
      </c>
      <c r="E46" s="13">
        <v>28880</v>
      </c>
      <c r="F46" s="13">
        <v>-191129</v>
      </c>
      <c r="G46" s="13">
        <v>161747.15999999997</v>
      </c>
      <c r="H46" s="13">
        <v>1181</v>
      </c>
      <c r="I46" s="13">
        <v>-9030</v>
      </c>
      <c r="J46" s="13">
        <v>0</v>
      </c>
      <c r="K46" s="13">
        <v>-19369</v>
      </c>
      <c r="L46" s="13">
        <v>0</v>
      </c>
      <c r="M46" s="13">
        <v>0</v>
      </c>
      <c r="N46" s="13">
        <v>9961</v>
      </c>
      <c r="O46" s="13">
        <v>-14013.840000000026</v>
      </c>
      <c r="P46" s="13">
        <f t="shared" ref="P46:AA46" si="10">P18+P42+P45</f>
        <v>4000</v>
      </c>
      <c r="Q46" s="13">
        <f t="shared" si="10"/>
        <v>-21000</v>
      </c>
      <c r="R46" s="13">
        <f t="shared" si="10"/>
        <v>4507</v>
      </c>
      <c r="S46" s="13">
        <f t="shared" si="10"/>
        <v>4000</v>
      </c>
      <c r="T46" s="13">
        <f t="shared" si="10"/>
        <v>4000</v>
      </c>
      <c r="U46" s="13">
        <f t="shared" si="10"/>
        <v>-19493</v>
      </c>
      <c r="V46" s="13">
        <f t="shared" si="10"/>
        <v>0</v>
      </c>
      <c r="W46" s="13">
        <f t="shared" si="10"/>
        <v>0</v>
      </c>
      <c r="X46" s="13">
        <f t="shared" si="10"/>
        <v>-20493</v>
      </c>
      <c r="Y46" s="13">
        <f t="shared" si="10"/>
        <v>-8505</v>
      </c>
      <c r="Z46" s="13">
        <f t="shared" si="10"/>
        <v>4000</v>
      </c>
      <c r="AA46" s="13">
        <f t="shared" si="10"/>
        <v>2705</v>
      </c>
      <c r="AB46" s="26">
        <f t="shared" si="1"/>
        <v>-46279</v>
      </c>
    </row>
    <row r="47" spans="2:28" ht="15" thickTop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06A69-F551-44A2-92B0-BB6AF9181268}">
  <dimension ref="B2:AC44"/>
  <sheetViews>
    <sheetView workbookViewId="0">
      <selection activeCell="AB43" sqref="AB43"/>
    </sheetView>
  </sheetViews>
  <sheetFormatPr baseColWidth="10" defaultRowHeight="14.4" outlineLevelRow="1" outlineLevelCol="1" x14ac:dyDescent="0.3"/>
  <cols>
    <col min="2" max="2" width="50.5546875" bestFit="1" customWidth="1"/>
    <col min="3" max="3" width="7.109375" hidden="1" customWidth="1" outlineLevel="1"/>
    <col min="4" max="4" width="6.5546875" hidden="1" customWidth="1" outlineLevel="1"/>
    <col min="5" max="5" width="8.109375" hidden="1" customWidth="1" outlineLevel="1"/>
    <col min="6" max="6" width="6.33203125" hidden="1" customWidth="1" outlineLevel="1"/>
    <col min="7" max="7" width="6.5546875" hidden="1" customWidth="1" outlineLevel="1"/>
    <col min="8" max="8" width="7" hidden="1" customWidth="1" outlineLevel="1"/>
    <col min="9" max="9" width="6.44140625" hidden="1" customWidth="1" outlineLevel="1"/>
    <col min="10" max="10" width="7.109375" hidden="1" customWidth="1" outlineLevel="1"/>
    <col min="11" max="11" width="10" hidden="1" customWidth="1" outlineLevel="1"/>
    <col min="12" max="12" width="6" hidden="1" customWidth="1" outlineLevel="1"/>
    <col min="13" max="13" width="8.88671875" hidden="1" customWidth="1" outlineLevel="1"/>
    <col min="14" max="14" width="9.33203125" hidden="1" customWidth="1" outlineLevel="1"/>
    <col min="15" max="15" width="9.33203125" bestFit="1" customWidth="1" collapsed="1"/>
    <col min="16" max="16" width="6.6640625" bestFit="1" customWidth="1" outlineLevel="1" collapsed="1"/>
    <col min="17" max="17" width="7.88671875" bestFit="1" customWidth="1" outlineLevel="1" collapsed="1"/>
    <col min="18" max="18" width="6.44140625" bestFit="1" customWidth="1" outlineLevel="1" collapsed="1"/>
    <col min="19" max="19" width="5.33203125" bestFit="1" customWidth="1" outlineLevel="1" collapsed="1"/>
    <col min="20" max="20" width="8.88671875" bestFit="1" customWidth="1" outlineLevel="1" collapsed="1"/>
    <col min="21" max="21" width="7.5546875" bestFit="1" customWidth="1" outlineLevel="1" collapsed="1"/>
    <col min="22" max="22" width="5.109375" bestFit="1" customWidth="1" outlineLevel="1" collapsed="1"/>
    <col min="23" max="23" width="8.88671875" bestFit="1" customWidth="1" outlineLevel="1" collapsed="1"/>
    <col min="24" max="24" width="10.88671875" bestFit="1" customWidth="1" outlineLevel="1" collapsed="1"/>
    <col min="25" max="25" width="8.33203125" bestFit="1" customWidth="1" outlineLevel="1" collapsed="1"/>
    <col min="26" max="26" width="10.44140625" bestFit="1" customWidth="1" outlineLevel="1" collapsed="1"/>
    <col min="27" max="27" width="10.109375" bestFit="1" customWidth="1" outlineLevel="1" collapsed="1"/>
    <col min="28" max="28" width="14.88671875" bestFit="1" customWidth="1" outlineLevel="1" collapsed="1"/>
  </cols>
  <sheetData>
    <row r="2" spans="2:29" ht="25.8" x14ac:dyDescent="0.5">
      <c r="B2" s="1" t="s">
        <v>0</v>
      </c>
    </row>
    <row r="4" spans="2:29" ht="15.6" x14ac:dyDescent="0.3">
      <c r="B4" s="2" t="s">
        <v>231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 t="s">
        <v>1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 t="s">
        <v>154</v>
      </c>
    </row>
    <row r="5" spans="2:29" ht="28.8" x14ac:dyDescent="0.3">
      <c r="B5" s="4"/>
      <c r="C5" s="14">
        <v>44470</v>
      </c>
      <c r="D5" s="14">
        <v>44501</v>
      </c>
      <c r="E5" s="14">
        <v>44531</v>
      </c>
      <c r="F5" s="14">
        <v>44562</v>
      </c>
      <c r="G5" s="14">
        <v>44593</v>
      </c>
      <c r="H5" s="14">
        <v>44621</v>
      </c>
      <c r="I5" s="14">
        <v>44652</v>
      </c>
      <c r="J5" s="14">
        <v>44682</v>
      </c>
      <c r="K5" s="14">
        <v>44713</v>
      </c>
      <c r="L5" s="14">
        <v>44743</v>
      </c>
      <c r="M5" s="14">
        <v>44774</v>
      </c>
      <c r="N5" s="14">
        <v>44805</v>
      </c>
      <c r="O5" s="14" t="s">
        <v>141</v>
      </c>
      <c r="P5" s="61" t="s">
        <v>142</v>
      </c>
      <c r="Q5" s="61" t="s">
        <v>143</v>
      </c>
      <c r="R5" s="61" t="s">
        <v>144</v>
      </c>
      <c r="S5" s="61" t="s">
        <v>145</v>
      </c>
      <c r="T5" s="61" t="s">
        <v>146</v>
      </c>
      <c r="U5" s="61" t="s">
        <v>147</v>
      </c>
      <c r="V5" s="61" t="s">
        <v>148</v>
      </c>
      <c r="W5" s="61" t="s">
        <v>149</v>
      </c>
      <c r="X5" s="61" t="s">
        <v>150</v>
      </c>
      <c r="Y5" s="61" t="s">
        <v>151</v>
      </c>
      <c r="Z5" s="61" t="s">
        <v>152</v>
      </c>
      <c r="AA5" s="61" t="s">
        <v>153</v>
      </c>
      <c r="AB5" s="61" t="s">
        <v>157</v>
      </c>
    </row>
    <row r="6" spans="2:29" x14ac:dyDescent="0.3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9" ht="21" x14ac:dyDescent="0.4">
      <c r="B7" s="6" t="s">
        <v>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9" collapsed="1" x14ac:dyDescent="0.3">
      <c r="B8" s="8" t="s">
        <v>4</v>
      </c>
      <c r="C8" s="9">
        <v>-810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-300</v>
      </c>
      <c r="K8" s="9">
        <v>-13520</v>
      </c>
      <c r="L8" s="9">
        <v>0</v>
      </c>
      <c r="M8" s="9">
        <v>-4950</v>
      </c>
      <c r="N8" s="9">
        <v>-1710</v>
      </c>
      <c r="O8" s="9">
        <v>-21290</v>
      </c>
      <c r="P8" s="24">
        <f>SUM(P9:P10)</f>
        <v>0</v>
      </c>
      <c r="Q8" s="24">
        <f t="shared" ref="Q8:AA8" si="0">SUM(Q9:Q10)</f>
        <v>0</v>
      </c>
      <c r="R8" s="24">
        <f t="shared" si="0"/>
        <v>0</v>
      </c>
      <c r="S8" s="24">
        <f t="shared" si="0"/>
        <v>0</v>
      </c>
      <c r="T8" s="24">
        <f t="shared" si="0"/>
        <v>-7000</v>
      </c>
      <c r="U8" s="24">
        <f t="shared" si="0"/>
        <v>-3500</v>
      </c>
      <c r="V8" s="24">
        <f t="shared" si="0"/>
        <v>0</v>
      </c>
      <c r="W8" s="24">
        <f t="shared" si="0"/>
        <v>-2000</v>
      </c>
      <c r="X8" s="24">
        <f t="shared" si="0"/>
        <v>-1000</v>
      </c>
      <c r="Y8" s="24">
        <f t="shared" si="0"/>
        <v>0</v>
      </c>
      <c r="Z8" s="24">
        <f t="shared" si="0"/>
        <v>0</v>
      </c>
      <c r="AA8" s="24">
        <f t="shared" si="0"/>
        <v>0</v>
      </c>
      <c r="AB8" s="24">
        <f>SUM(P8:AA8)</f>
        <v>-13500</v>
      </c>
    </row>
    <row r="9" spans="2:29" outlineLevel="1" x14ac:dyDescent="0.3">
      <c r="B9" s="10" t="s">
        <v>24</v>
      </c>
      <c r="C9" s="11">
        <v>-810</v>
      </c>
      <c r="D9" s="11">
        <v>0</v>
      </c>
      <c r="E9" s="11">
        <v>0</v>
      </c>
      <c r="F9" s="11"/>
      <c r="G9" s="11"/>
      <c r="H9" s="11"/>
      <c r="I9" s="11"/>
      <c r="J9" s="11"/>
      <c r="K9" s="11">
        <v>-3910</v>
      </c>
      <c r="L9" s="11"/>
      <c r="M9" s="11">
        <v>-2430</v>
      </c>
      <c r="N9" s="11">
        <v>-1670</v>
      </c>
      <c r="O9" s="11">
        <v>-8820</v>
      </c>
      <c r="P9" s="11"/>
      <c r="Q9" s="11"/>
      <c r="R9" s="11"/>
      <c r="S9" s="11"/>
      <c r="T9" s="11">
        <v>-1000</v>
      </c>
      <c r="U9" s="11">
        <v>-3500</v>
      </c>
      <c r="V9" s="11"/>
      <c r="W9" s="11">
        <v>-1000</v>
      </c>
      <c r="X9" s="11"/>
      <c r="Y9" s="11"/>
      <c r="Z9" s="11"/>
      <c r="AA9" s="11"/>
      <c r="AB9" s="11">
        <f t="shared" ref="AB9:AB43" si="1">SUM(P9:AA9)</f>
        <v>-5500</v>
      </c>
    </row>
    <row r="10" spans="2:29" outlineLevel="1" collapsed="1" x14ac:dyDescent="0.3">
      <c r="B10" s="10" t="s">
        <v>27</v>
      </c>
      <c r="C10" s="11">
        <v>0</v>
      </c>
      <c r="D10" s="11">
        <v>0</v>
      </c>
      <c r="E10" s="11">
        <v>0</v>
      </c>
      <c r="F10" s="11"/>
      <c r="G10" s="11"/>
      <c r="H10" s="11"/>
      <c r="I10" s="11"/>
      <c r="J10" s="11">
        <v>-300</v>
      </c>
      <c r="K10" s="11">
        <v>-9610</v>
      </c>
      <c r="L10" s="11"/>
      <c r="M10" s="11">
        <v>-2520</v>
      </c>
      <c r="N10" s="11">
        <v>-40</v>
      </c>
      <c r="O10" s="11">
        <v>-12470</v>
      </c>
      <c r="P10" s="11"/>
      <c r="Q10" s="11"/>
      <c r="R10" s="11"/>
      <c r="S10" s="11"/>
      <c r="T10" s="11">
        <v>-6000</v>
      </c>
      <c r="U10" s="11"/>
      <c r="V10" s="11"/>
      <c r="W10" s="11">
        <v>-1000</v>
      </c>
      <c r="X10" s="11">
        <v>-1000</v>
      </c>
      <c r="Y10" s="11"/>
      <c r="Z10" s="11"/>
      <c r="AA10" s="11"/>
      <c r="AB10" s="11">
        <f t="shared" si="1"/>
        <v>-8000</v>
      </c>
    </row>
    <row r="11" spans="2:29" x14ac:dyDescent="0.3">
      <c r="B11" s="8" t="s">
        <v>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>
        <f t="shared" si="1"/>
        <v>0</v>
      </c>
    </row>
    <row r="12" spans="2:29" x14ac:dyDescent="0.3">
      <c r="B12" s="8" t="s">
        <v>6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>
        <f t="shared" si="1"/>
        <v>0</v>
      </c>
    </row>
    <row r="13" spans="2:29" collapsed="1" x14ac:dyDescent="0.3">
      <c r="B13" s="8" t="s">
        <v>7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24">
        <f>SUM(P14:P15)</f>
        <v>0</v>
      </c>
      <c r="Q13" s="24">
        <f t="shared" ref="Q13:AA13" si="2">SUM(Q14:Q15)</f>
        <v>0</v>
      </c>
      <c r="R13" s="24">
        <f t="shared" si="2"/>
        <v>0</v>
      </c>
      <c r="S13" s="24">
        <f t="shared" si="2"/>
        <v>0</v>
      </c>
      <c r="T13" s="24">
        <f t="shared" si="2"/>
        <v>0</v>
      </c>
      <c r="U13" s="24">
        <f t="shared" si="2"/>
        <v>0</v>
      </c>
      <c r="V13" s="24">
        <f t="shared" si="2"/>
        <v>0</v>
      </c>
      <c r="W13" s="24">
        <f t="shared" si="2"/>
        <v>0</v>
      </c>
      <c r="X13" s="24">
        <f t="shared" si="2"/>
        <v>0</v>
      </c>
      <c r="Y13" s="24">
        <f t="shared" si="2"/>
        <v>0</v>
      </c>
      <c r="Z13" s="24">
        <f t="shared" si="2"/>
        <v>0</v>
      </c>
      <c r="AA13" s="24">
        <f t="shared" si="2"/>
        <v>-8000</v>
      </c>
      <c r="AB13" s="24">
        <f t="shared" si="1"/>
        <v>-8000</v>
      </c>
    </row>
    <row r="14" spans="2:29" outlineLevel="1" x14ac:dyDescent="0.3">
      <c r="B14" s="10" t="s">
        <v>232</v>
      </c>
      <c r="C14" s="11">
        <v>0</v>
      </c>
      <c r="D14" s="11">
        <v>0</v>
      </c>
      <c r="E14" s="11">
        <v>0</v>
      </c>
      <c r="F14" s="11"/>
      <c r="G14" s="11"/>
      <c r="H14" s="11"/>
      <c r="I14" s="11"/>
      <c r="J14" s="11"/>
      <c r="K14" s="11"/>
      <c r="L14" s="11"/>
      <c r="M14" s="11"/>
      <c r="N14" s="11"/>
      <c r="O14" s="11">
        <v>0</v>
      </c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>
        <f t="shared" si="1"/>
        <v>0</v>
      </c>
    </row>
    <row r="15" spans="2:29" outlineLevel="1" collapsed="1" x14ac:dyDescent="0.3">
      <c r="B15" s="10" t="s">
        <v>42</v>
      </c>
      <c r="C15" s="11">
        <v>0</v>
      </c>
      <c r="D15" s="11">
        <v>0</v>
      </c>
      <c r="E15" s="11">
        <v>0</v>
      </c>
      <c r="F15" s="11"/>
      <c r="G15" s="11"/>
      <c r="H15" s="11"/>
      <c r="I15" s="11"/>
      <c r="J15" s="11"/>
      <c r="K15" s="11"/>
      <c r="L15" s="11"/>
      <c r="M15" s="11"/>
      <c r="N15" s="11"/>
      <c r="O15" s="11">
        <v>0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>
        <v>-8000</v>
      </c>
      <c r="AB15" s="11">
        <f t="shared" si="1"/>
        <v>-8000</v>
      </c>
      <c r="AC15" t="s">
        <v>233</v>
      </c>
    </row>
    <row r="16" spans="2:29" x14ac:dyDescent="0.3">
      <c r="B16" s="15" t="s">
        <v>8</v>
      </c>
      <c r="C16" s="16">
        <v>-810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-300</v>
      </c>
      <c r="K16" s="16">
        <v>-13520</v>
      </c>
      <c r="L16" s="16">
        <v>0</v>
      </c>
      <c r="M16" s="16">
        <v>-4950</v>
      </c>
      <c r="N16" s="16">
        <v>-1710</v>
      </c>
      <c r="O16" s="16">
        <v>-21290</v>
      </c>
      <c r="P16" s="25">
        <f>P8+P11+P12+P13</f>
        <v>0</v>
      </c>
      <c r="Q16" s="25">
        <f t="shared" ref="Q16:AA16" si="3">Q8+Q11+Q12+Q13</f>
        <v>0</v>
      </c>
      <c r="R16" s="25">
        <f t="shared" si="3"/>
        <v>0</v>
      </c>
      <c r="S16" s="25">
        <f t="shared" si="3"/>
        <v>0</v>
      </c>
      <c r="T16" s="25">
        <f t="shared" si="3"/>
        <v>-7000</v>
      </c>
      <c r="U16" s="25">
        <f t="shared" si="3"/>
        <v>-3500</v>
      </c>
      <c r="V16" s="25">
        <f t="shared" si="3"/>
        <v>0</v>
      </c>
      <c r="W16" s="25">
        <f t="shared" si="3"/>
        <v>-2000</v>
      </c>
      <c r="X16" s="25">
        <f t="shared" si="3"/>
        <v>-1000</v>
      </c>
      <c r="Y16" s="25">
        <f t="shared" si="3"/>
        <v>0</v>
      </c>
      <c r="Z16" s="25">
        <f t="shared" si="3"/>
        <v>0</v>
      </c>
      <c r="AA16" s="25">
        <f t="shared" si="3"/>
        <v>-8000</v>
      </c>
      <c r="AB16" s="25">
        <f t="shared" si="1"/>
        <v>-21500</v>
      </c>
    </row>
    <row r="17" spans="2:29" x14ac:dyDescent="0.3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2:29" x14ac:dyDescent="0.3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2:29" ht="21" x14ac:dyDescent="0.4">
      <c r="B19" s="6" t="s">
        <v>9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>
        <v>0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>
        <f t="shared" si="1"/>
        <v>0</v>
      </c>
    </row>
    <row r="20" spans="2:29" collapsed="1" x14ac:dyDescent="0.3">
      <c r="B20" s="8" t="s">
        <v>10</v>
      </c>
      <c r="C20" s="9">
        <v>0</v>
      </c>
      <c r="D20" s="9">
        <v>0</v>
      </c>
      <c r="E20" s="9">
        <v>549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2000</v>
      </c>
      <c r="N20" s="9">
        <v>0</v>
      </c>
      <c r="O20" s="9">
        <v>2549</v>
      </c>
      <c r="P20" s="24">
        <f>SUM(P21:P22)</f>
        <v>0</v>
      </c>
      <c r="Q20" s="24">
        <f t="shared" ref="Q20:AA20" si="4">SUM(Q21:Q22)</f>
        <v>0</v>
      </c>
      <c r="R20" s="24">
        <f t="shared" si="4"/>
        <v>0</v>
      </c>
      <c r="S20" s="24">
        <f t="shared" si="4"/>
        <v>0</v>
      </c>
      <c r="T20" s="24">
        <f t="shared" si="4"/>
        <v>0</v>
      </c>
      <c r="U20" s="24">
        <f t="shared" si="4"/>
        <v>4000</v>
      </c>
      <c r="V20" s="24">
        <f t="shared" si="4"/>
        <v>0</v>
      </c>
      <c r="W20" s="24">
        <f t="shared" si="4"/>
        <v>0</v>
      </c>
      <c r="X20" s="24">
        <f t="shared" si="4"/>
        <v>3000</v>
      </c>
      <c r="Y20" s="24">
        <f t="shared" si="4"/>
        <v>0</v>
      </c>
      <c r="Z20" s="24">
        <f t="shared" si="4"/>
        <v>0</v>
      </c>
      <c r="AA20" s="24">
        <f t="shared" si="4"/>
        <v>0</v>
      </c>
      <c r="AB20" s="24">
        <f t="shared" si="1"/>
        <v>7000</v>
      </c>
    </row>
    <row r="21" spans="2:29" outlineLevel="1" x14ac:dyDescent="0.3">
      <c r="B21" s="10" t="s">
        <v>51</v>
      </c>
      <c r="C21" s="11">
        <v>0</v>
      </c>
      <c r="D21" s="11">
        <v>0</v>
      </c>
      <c r="E21" s="11">
        <v>549</v>
      </c>
      <c r="F21" s="11"/>
      <c r="G21" s="11"/>
      <c r="H21" s="11"/>
      <c r="I21" s="11"/>
      <c r="J21" s="11"/>
      <c r="K21" s="11"/>
      <c r="L21" s="11"/>
      <c r="M21" s="11"/>
      <c r="N21" s="11"/>
      <c r="O21" s="11">
        <v>549</v>
      </c>
      <c r="P21" s="11"/>
      <c r="Q21" s="11"/>
      <c r="R21" s="11"/>
      <c r="S21" s="11"/>
      <c r="T21" s="11"/>
      <c r="U21" s="11">
        <v>2000</v>
      </c>
      <c r="V21" s="11"/>
      <c r="W21" s="11"/>
      <c r="X21" s="11">
        <v>3000</v>
      </c>
      <c r="Y21" s="11"/>
      <c r="Z21" s="11"/>
      <c r="AA21" s="11"/>
      <c r="AB21" s="11">
        <f t="shared" si="1"/>
        <v>5000</v>
      </c>
      <c r="AC21" t="s">
        <v>233</v>
      </c>
    </row>
    <row r="22" spans="2:29" outlineLevel="1" collapsed="1" x14ac:dyDescent="0.3">
      <c r="B22" s="10" t="s">
        <v>164</v>
      </c>
      <c r="C22" s="11">
        <v>0</v>
      </c>
      <c r="D22" s="11">
        <v>0</v>
      </c>
      <c r="E22" s="11">
        <v>0</v>
      </c>
      <c r="F22" s="11"/>
      <c r="G22" s="11"/>
      <c r="H22" s="11"/>
      <c r="I22" s="11"/>
      <c r="J22" s="11"/>
      <c r="K22" s="11"/>
      <c r="L22" s="11"/>
      <c r="M22" s="11">
        <v>2000</v>
      </c>
      <c r="N22" s="11"/>
      <c r="O22" s="11">
        <v>2000</v>
      </c>
      <c r="P22" s="11"/>
      <c r="Q22" s="11"/>
      <c r="R22" s="11"/>
      <c r="S22" s="11"/>
      <c r="T22" s="11"/>
      <c r="U22" s="11">
        <v>2000</v>
      </c>
      <c r="V22" s="11"/>
      <c r="W22" s="11"/>
      <c r="X22" s="11"/>
      <c r="Y22" s="11"/>
      <c r="Z22" s="11"/>
      <c r="AA22" s="11"/>
      <c r="AB22" s="11">
        <f t="shared" si="1"/>
        <v>2000</v>
      </c>
    </row>
    <row r="23" spans="2:29" x14ac:dyDescent="0.3">
      <c r="B23" s="8" t="s">
        <v>11</v>
      </c>
      <c r="C23" s="9">
        <v>0</v>
      </c>
      <c r="D23" s="9">
        <v>0</v>
      </c>
      <c r="E23" s="9">
        <v>750</v>
      </c>
      <c r="F23" s="9">
        <v>0</v>
      </c>
      <c r="G23" s="9">
        <v>0</v>
      </c>
      <c r="H23" s="9">
        <v>750</v>
      </c>
      <c r="I23" s="9">
        <v>0</v>
      </c>
      <c r="J23" s="9">
        <v>0</v>
      </c>
      <c r="K23" s="9">
        <v>750</v>
      </c>
      <c r="L23" s="9">
        <v>0</v>
      </c>
      <c r="M23" s="9">
        <v>0</v>
      </c>
      <c r="N23" s="9">
        <v>2816</v>
      </c>
      <c r="O23" s="9">
        <v>5066</v>
      </c>
      <c r="P23" s="24">
        <f>SUM(P24:P25)</f>
        <v>0</v>
      </c>
      <c r="Q23" s="24">
        <f t="shared" ref="Q23:AA23" si="5">SUM(Q24:Q25)</f>
        <v>0</v>
      </c>
      <c r="R23" s="24">
        <f t="shared" si="5"/>
        <v>153</v>
      </c>
      <c r="S23" s="24">
        <f t="shared" si="5"/>
        <v>0</v>
      </c>
      <c r="T23" s="24">
        <f t="shared" si="5"/>
        <v>0</v>
      </c>
      <c r="U23" s="24">
        <f t="shared" si="5"/>
        <v>153</v>
      </c>
      <c r="V23" s="24">
        <f t="shared" si="5"/>
        <v>0</v>
      </c>
      <c r="W23" s="24">
        <f t="shared" si="5"/>
        <v>0</v>
      </c>
      <c r="X23" s="24">
        <f t="shared" si="5"/>
        <v>153</v>
      </c>
      <c r="Y23" s="24">
        <f t="shared" si="5"/>
        <v>0</v>
      </c>
      <c r="Z23" s="24">
        <f t="shared" si="5"/>
        <v>0</v>
      </c>
      <c r="AA23" s="24">
        <f t="shared" si="5"/>
        <v>153</v>
      </c>
      <c r="AB23" s="24">
        <f t="shared" si="1"/>
        <v>612</v>
      </c>
    </row>
    <row r="24" spans="2:29" outlineLevel="1" x14ac:dyDescent="0.3">
      <c r="B24" s="10" t="s">
        <v>165</v>
      </c>
      <c r="C24" s="11">
        <v>0</v>
      </c>
      <c r="D24" s="11">
        <v>0</v>
      </c>
      <c r="E24" s="11">
        <v>750</v>
      </c>
      <c r="F24" s="11"/>
      <c r="G24" s="11"/>
      <c r="H24" s="11">
        <v>750</v>
      </c>
      <c r="I24" s="11"/>
      <c r="J24" s="11"/>
      <c r="K24" s="11">
        <v>750</v>
      </c>
      <c r="L24" s="11"/>
      <c r="M24" s="11"/>
      <c r="N24" s="11">
        <v>750</v>
      </c>
      <c r="O24" s="11">
        <v>3000</v>
      </c>
      <c r="P24" s="11"/>
      <c r="Q24" s="11"/>
      <c r="R24" s="11">
        <v>153</v>
      </c>
      <c r="S24" s="11"/>
      <c r="T24" s="11"/>
      <c r="U24" s="11">
        <v>153</v>
      </c>
      <c r="V24" s="11"/>
      <c r="W24" s="11"/>
      <c r="X24" s="11">
        <v>153</v>
      </c>
      <c r="Y24" s="11"/>
      <c r="Z24" s="11"/>
      <c r="AA24" s="11">
        <v>153</v>
      </c>
      <c r="AB24" s="11">
        <f t="shared" si="1"/>
        <v>612</v>
      </c>
    </row>
    <row r="25" spans="2:29" outlineLevel="1" collapsed="1" x14ac:dyDescent="0.3">
      <c r="B25" s="10" t="s">
        <v>71</v>
      </c>
      <c r="C25" s="11">
        <v>0</v>
      </c>
      <c r="D25" s="11">
        <v>0</v>
      </c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>
        <v>2066</v>
      </c>
      <c r="O25" s="11">
        <v>2066</v>
      </c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>
        <f t="shared" si="1"/>
        <v>0</v>
      </c>
    </row>
    <row r="26" spans="2:29" x14ac:dyDescent="0.3">
      <c r="B26" s="8" t="s">
        <v>12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300.2</v>
      </c>
      <c r="O26" s="9">
        <v>300.2</v>
      </c>
      <c r="P26" s="24">
        <f>SUM(P27:P29)</f>
        <v>0</v>
      </c>
      <c r="Q26" s="24">
        <f t="shared" ref="Q26:AA26" si="6">SUM(Q27:Q29)</f>
        <v>0</v>
      </c>
      <c r="R26" s="24">
        <f t="shared" si="6"/>
        <v>0</v>
      </c>
      <c r="S26" s="24">
        <f t="shared" si="6"/>
        <v>0</v>
      </c>
      <c r="T26" s="24">
        <f t="shared" si="6"/>
        <v>0</v>
      </c>
      <c r="U26" s="24">
        <f t="shared" si="6"/>
        <v>0</v>
      </c>
      <c r="V26" s="24">
        <f t="shared" si="6"/>
        <v>0</v>
      </c>
      <c r="W26" s="24">
        <f t="shared" si="6"/>
        <v>0</v>
      </c>
      <c r="X26" s="24">
        <f t="shared" si="6"/>
        <v>500</v>
      </c>
      <c r="Y26" s="24">
        <f t="shared" si="6"/>
        <v>0</v>
      </c>
      <c r="Z26" s="24">
        <f t="shared" si="6"/>
        <v>0</v>
      </c>
      <c r="AA26" s="24">
        <f t="shared" si="6"/>
        <v>500</v>
      </c>
      <c r="AB26" s="24">
        <f t="shared" si="1"/>
        <v>1000</v>
      </c>
    </row>
    <row r="27" spans="2:29" outlineLevel="1" x14ac:dyDescent="0.3">
      <c r="B27" s="10" t="s">
        <v>88</v>
      </c>
      <c r="C27" s="11">
        <v>0</v>
      </c>
      <c r="D27" s="11">
        <v>0</v>
      </c>
      <c r="E27" s="11">
        <v>0</v>
      </c>
      <c r="F27" s="11"/>
      <c r="G27" s="11"/>
      <c r="H27" s="11"/>
      <c r="I27" s="11"/>
      <c r="J27" s="11"/>
      <c r="K27" s="11"/>
      <c r="L27" s="11"/>
      <c r="M27" s="11"/>
      <c r="N27" s="11"/>
      <c r="O27" s="11">
        <v>0</v>
      </c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>
        <f t="shared" si="1"/>
        <v>0</v>
      </c>
    </row>
    <row r="28" spans="2:29" outlineLevel="1" collapsed="1" x14ac:dyDescent="0.3">
      <c r="B28" s="10" t="s">
        <v>90</v>
      </c>
      <c r="C28" s="11">
        <v>0</v>
      </c>
      <c r="D28" s="11">
        <v>0</v>
      </c>
      <c r="E28" s="11">
        <v>0</v>
      </c>
      <c r="F28" s="11"/>
      <c r="G28" s="11"/>
      <c r="H28" s="11"/>
      <c r="I28" s="11"/>
      <c r="J28" s="11"/>
      <c r="K28" s="11"/>
      <c r="L28" s="11"/>
      <c r="M28" s="11"/>
      <c r="N28" s="11">
        <v>300.2</v>
      </c>
      <c r="O28" s="11">
        <v>300.2</v>
      </c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>
        <v>500</v>
      </c>
      <c r="AB28" s="11">
        <f t="shared" si="1"/>
        <v>500</v>
      </c>
    </row>
    <row r="29" spans="2:29" outlineLevel="1" collapsed="1" x14ac:dyDescent="0.3">
      <c r="B29" s="10" t="s">
        <v>110</v>
      </c>
      <c r="C29" s="11">
        <v>0</v>
      </c>
      <c r="D29" s="11">
        <v>0</v>
      </c>
      <c r="E29" s="11">
        <v>0</v>
      </c>
      <c r="F29" s="11"/>
      <c r="G29" s="11"/>
      <c r="H29" s="11"/>
      <c r="I29" s="11"/>
      <c r="J29" s="11"/>
      <c r="K29" s="11"/>
      <c r="L29" s="11"/>
      <c r="M29" s="11"/>
      <c r="N29" s="11"/>
      <c r="O29" s="11">
        <v>0</v>
      </c>
      <c r="P29" s="11"/>
      <c r="Q29" s="11"/>
      <c r="R29" s="11"/>
      <c r="S29" s="11"/>
      <c r="T29" s="11"/>
      <c r="U29" s="11"/>
      <c r="V29" s="11"/>
      <c r="W29" s="11"/>
      <c r="X29" s="11">
        <v>500</v>
      </c>
      <c r="Y29" s="11"/>
      <c r="Z29" s="11"/>
      <c r="AA29" s="11"/>
      <c r="AB29" s="11">
        <f t="shared" si="1"/>
        <v>500</v>
      </c>
    </row>
    <row r="30" spans="2:29" x14ac:dyDescent="0.3">
      <c r="B30" s="8" t="s">
        <v>13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>
        <f t="shared" si="1"/>
        <v>0</v>
      </c>
    </row>
    <row r="31" spans="2:29" x14ac:dyDescent="0.3">
      <c r="B31" s="8" t="s">
        <v>14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>
        <f t="shared" si="1"/>
        <v>0</v>
      </c>
    </row>
    <row r="32" spans="2:29" x14ac:dyDescent="0.3">
      <c r="B32" s="8" t="s">
        <v>15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>
        <f t="shared" si="1"/>
        <v>0</v>
      </c>
    </row>
    <row r="33" spans="2:29" collapsed="1" x14ac:dyDescent="0.3">
      <c r="B33" s="8" t="s">
        <v>16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8701</v>
      </c>
      <c r="O33" s="9">
        <v>8701</v>
      </c>
      <c r="P33" s="24">
        <f>SUM(P34)</f>
        <v>0</v>
      </c>
      <c r="Q33" s="24">
        <f t="shared" ref="Q33:AA33" si="7">SUM(Q34)</f>
        <v>0</v>
      </c>
      <c r="R33" s="24">
        <f t="shared" si="7"/>
        <v>0</v>
      </c>
      <c r="S33" s="24">
        <f t="shared" si="7"/>
        <v>0</v>
      </c>
      <c r="T33" s="24">
        <f t="shared" si="7"/>
        <v>0</v>
      </c>
      <c r="U33" s="24">
        <f t="shared" si="7"/>
        <v>0</v>
      </c>
      <c r="V33" s="24">
        <f t="shared" si="7"/>
        <v>0</v>
      </c>
      <c r="W33" s="24">
        <f t="shared" si="7"/>
        <v>0</v>
      </c>
      <c r="X33" s="24">
        <f t="shared" si="7"/>
        <v>0</v>
      </c>
      <c r="Y33" s="24">
        <f t="shared" si="7"/>
        <v>0</v>
      </c>
      <c r="Z33" s="24">
        <f t="shared" si="7"/>
        <v>0</v>
      </c>
      <c r="AA33" s="24">
        <f t="shared" si="7"/>
        <v>9000</v>
      </c>
      <c r="AB33" s="24">
        <f t="shared" si="1"/>
        <v>9000</v>
      </c>
    </row>
    <row r="34" spans="2:29" outlineLevel="1" x14ac:dyDescent="0.3">
      <c r="B34" s="10" t="s">
        <v>127</v>
      </c>
      <c r="C34" s="11">
        <v>0</v>
      </c>
      <c r="D34" s="11">
        <v>0</v>
      </c>
      <c r="E34" s="11">
        <v>0</v>
      </c>
      <c r="F34" s="11"/>
      <c r="G34" s="11"/>
      <c r="H34" s="11"/>
      <c r="I34" s="11"/>
      <c r="J34" s="11"/>
      <c r="K34" s="11"/>
      <c r="L34" s="11"/>
      <c r="M34" s="11"/>
      <c r="N34" s="11">
        <v>8701</v>
      </c>
      <c r="O34" s="11">
        <v>8701</v>
      </c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>
        <v>9000</v>
      </c>
      <c r="AB34" s="11">
        <f t="shared" si="1"/>
        <v>9000</v>
      </c>
      <c r="AC34" t="s">
        <v>233</v>
      </c>
    </row>
    <row r="35" spans="2:29" x14ac:dyDescent="0.3">
      <c r="B35" s="8" t="s">
        <v>5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>
        <f t="shared" si="1"/>
        <v>0</v>
      </c>
    </row>
    <row r="36" spans="2:29" collapsed="1" x14ac:dyDescent="0.3">
      <c r="B36" s="8" t="s">
        <v>17</v>
      </c>
      <c r="C36" s="9">
        <v>14.27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5.25</v>
      </c>
      <c r="K36" s="9">
        <v>234.42</v>
      </c>
      <c r="L36" s="9">
        <v>0</v>
      </c>
      <c r="M36" s="9">
        <v>86.84</v>
      </c>
      <c r="N36" s="9">
        <v>30.09</v>
      </c>
      <c r="O36" s="9">
        <v>370.86999999999995</v>
      </c>
      <c r="P36" s="24">
        <f>SUM(P37)</f>
        <v>0</v>
      </c>
      <c r="Q36" s="24">
        <f t="shared" ref="Q36:AA36" si="8">SUM(Q37)</f>
        <v>0</v>
      </c>
      <c r="R36" s="24">
        <f t="shared" si="8"/>
        <v>0</v>
      </c>
      <c r="S36" s="24">
        <f t="shared" si="8"/>
        <v>0</v>
      </c>
      <c r="T36" s="24">
        <f t="shared" si="8"/>
        <v>500</v>
      </c>
      <c r="U36" s="24">
        <f t="shared" si="8"/>
        <v>100</v>
      </c>
      <c r="V36" s="24">
        <f t="shared" si="8"/>
        <v>0</v>
      </c>
      <c r="W36" s="24">
        <f t="shared" si="8"/>
        <v>0</v>
      </c>
      <c r="X36" s="24">
        <f t="shared" si="8"/>
        <v>100</v>
      </c>
      <c r="Y36" s="24">
        <f t="shared" si="8"/>
        <v>50</v>
      </c>
      <c r="Z36" s="24">
        <f t="shared" si="8"/>
        <v>0</v>
      </c>
      <c r="AA36" s="24">
        <f t="shared" si="8"/>
        <v>0</v>
      </c>
      <c r="AB36" s="24">
        <f t="shared" si="1"/>
        <v>750</v>
      </c>
    </row>
    <row r="37" spans="2:29" outlineLevel="1" x14ac:dyDescent="0.3">
      <c r="B37" s="10" t="s">
        <v>134</v>
      </c>
      <c r="C37" s="11">
        <v>14.27</v>
      </c>
      <c r="D37" s="11">
        <v>0</v>
      </c>
      <c r="E37" s="11">
        <v>0</v>
      </c>
      <c r="F37" s="11"/>
      <c r="G37" s="11"/>
      <c r="H37" s="11"/>
      <c r="I37" s="11"/>
      <c r="J37" s="11">
        <v>5.25</v>
      </c>
      <c r="K37" s="11">
        <v>234.42</v>
      </c>
      <c r="L37" s="11"/>
      <c r="M37" s="11">
        <v>86.84</v>
      </c>
      <c r="N37" s="11">
        <v>30.09</v>
      </c>
      <c r="O37" s="11">
        <v>370.86999999999995</v>
      </c>
      <c r="P37" s="11"/>
      <c r="Q37" s="11"/>
      <c r="R37" s="11"/>
      <c r="S37" s="11"/>
      <c r="T37" s="11">
        <v>500</v>
      </c>
      <c r="U37" s="11">
        <v>100</v>
      </c>
      <c r="V37" s="11"/>
      <c r="W37" s="11"/>
      <c r="X37" s="11">
        <v>100</v>
      </c>
      <c r="Y37" s="11">
        <v>50</v>
      </c>
      <c r="Z37" s="11"/>
      <c r="AA37" s="11"/>
      <c r="AB37" s="11">
        <f t="shared" si="1"/>
        <v>750</v>
      </c>
    </row>
    <row r="38" spans="2:29" x14ac:dyDescent="0.3">
      <c r="B38" s="15" t="s">
        <v>18</v>
      </c>
      <c r="C38" s="16">
        <v>14.27</v>
      </c>
      <c r="D38" s="16">
        <v>0</v>
      </c>
      <c r="E38" s="16">
        <v>1299</v>
      </c>
      <c r="F38" s="16">
        <v>0</v>
      </c>
      <c r="G38" s="16">
        <v>0</v>
      </c>
      <c r="H38" s="16">
        <v>750</v>
      </c>
      <c r="I38" s="16">
        <v>0</v>
      </c>
      <c r="J38" s="16">
        <v>5.25</v>
      </c>
      <c r="K38" s="16">
        <v>984.42</v>
      </c>
      <c r="L38" s="16">
        <v>0</v>
      </c>
      <c r="M38" s="16">
        <v>2086.84</v>
      </c>
      <c r="N38" s="16">
        <v>11847.29</v>
      </c>
      <c r="O38" s="16">
        <v>16987.07</v>
      </c>
      <c r="P38" s="25">
        <f>P20+P23+P26+P30+P31+P32+P33+P35+P36</f>
        <v>0</v>
      </c>
      <c r="Q38" s="25">
        <f t="shared" ref="Q38:AA38" si="9">Q20+Q23+Q26+Q30+Q31+Q32+Q33+Q35+Q36</f>
        <v>0</v>
      </c>
      <c r="R38" s="25">
        <f t="shared" si="9"/>
        <v>153</v>
      </c>
      <c r="S38" s="25">
        <f t="shared" si="9"/>
        <v>0</v>
      </c>
      <c r="T38" s="25">
        <f t="shared" si="9"/>
        <v>500</v>
      </c>
      <c r="U38" s="25">
        <f t="shared" si="9"/>
        <v>4253</v>
      </c>
      <c r="V38" s="25">
        <f t="shared" si="9"/>
        <v>0</v>
      </c>
      <c r="W38" s="25">
        <f t="shared" si="9"/>
        <v>0</v>
      </c>
      <c r="X38" s="25">
        <f t="shared" si="9"/>
        <v>3753</v>
      </c>
      <c r="Y38" s="25">
        <f t="shared" si="9"/>
        <v>50</v>
      </c>
      <c r="Z38" s="25">
        <f t="shared" si="9"/>
        <v>0</v>
      </c>
      <c r="AA38" s="25">
        <f t="shared" si="9"/>
        <v>9653</v>
      </c>
      <c r="AB38" s="25">
        <f t="shared" si="1"/>
        <v>18362</v>
      </c>
    </row>
    <row r="39" spans="2:29" x14ac:dyDescent="0.3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2:29" x14ac:dyDescent="0.3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</row>
    <row r="41" spans="2:29" collapsed="1" x14ac:dyDescent="0.3">
      <c r="B41" s="8" t="s">
        <v>19</v>
      </c>
      <c r="C41" s="9">
        <v>0</v>
      </c>
      <c r="D41" s="9">
        <v>0</v>
      </c>
      <c r="E41" s="9">
        <v>-236.98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-236.98</v>
      </c>
      <c r="P41" s="24">
        <f>P42</f>
        <v>0</v>
      </c>
      <c r="Q41" s="24">
        <f t="shared" ref="Q41:AA41" si="10">Q42</f>
        <v>0</v>
      </c>
      <c r="R41" s="24">
        <f t="shared" si="10"/>
        <v>0</v>
      </c>
      <c r="S41" s="24">
        <f t="shared" si="10"/>
        <v>0</v>
      </c>
      <c r="T41" s="24">
        <f t="shared" si="10"/>
        <v>0</v>
      </c>
      <c r="U41" s="24">
        <f t="shared" si="10"/>
        <v>0</v>
      </c>
      <c r="V41" s="24">
        <f t="shared" si="10"/>
        <v>0</v>
      </c>
      <c r="W41" s="24">
        <f t="shared" si="10"/>
        <v>0</v>
      </c>
      <c r="X41" s="24">
        <f t="shared" si="10"/>
        <v>0</v>
      </c>
      <c r="Y41" s="24">
        <f t="shared" si="10"/>
        <v>0</v>
      </c>
      <c r="Z41" s="24">
        <f t="shared" si="10"/>
        <v>0</v>
      </c>
      <c r="AA41" s="24">
        <f t="shared" si="10"/>
        <v>-500</v>
      </c>
      <c r="AB41" s="24">
        <f t="shared" si="1"/>
        <v>-500</v>
      </c>
    </row>
    <row r="42" spans="2:29" outlineLevel="1" x14ac:dyDescent="0.3">
      <c r="B42" s="10" t="s">
        <v>137</v>
      </c>
      <c r="C42" s="11">
        <v>0</v>
      </c>
      <c r="D42" s="11">
        <v>0</v>
      </c>
      <c r="E42" s="11">
        <v>-236.98</v>
      </c>
      <c r="F42" s="11"/>
      <c r="G42" s="11"/>
      <c r="H42" s="11"/>
      <c r="I42" s="11"/>
      <c r="J42" s="11"/>
      <c r="K42" s="11"/>
      <c r="L42" s="11"/>
      <c r="M42" s="11"/>
      <c r="N42" s="11"/>
      <c r="O42" s="11">
        <v>-236.98</v>
      </c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>
        <v>-500</v>
      </c>
      <c r="AB42" s="11">
        <f t="shared" si="1"/>
        <v>-500</v>
      </c>
    </row>
    <row r="43" spans="2:29" ht="16.2" thickBot="1" x14ac:dyDescent="0.35">
      <c r="B43" s="12" t="s">
        <v>20</v>
      </c>
      <c r="C43" s="13">
        <v>-795.73</v>
      </c>
      <c r="D43" s="13">
        <v>0</v>
      </c>
      <c r="E43" s="13">
        <v>1062.02</v>
      </c>
      <c r="F43" s="13">
        <v>0</v>
      </c>
      <c r="G43" s="13">
        <v>0</v>
      </c>
      <c r="H43" s="13">
        <v>750</v>
      </c>
      <c r="I43" s="13">
        <v>0</v>
      </c>
      <c r="J43" s="13">
        <v>-294.75</v>
      </c>
      <c r="K43" s="13">
        <v>-12535.58</v>
      </c>
      <c r="L43" s="13">
        <v>0</v>
      </c>
      <c r="M43" s="13">
        <v>-2863.16</v>
      </c>
      <c r="N43" s="13">
        <v>10137.290000000001</v>
      </c>
      <c r="O43" s="13">
        <v>-4539.91</v>
      </c>
      <c r="P43" s="26">
        <f>P16+P38+P41</f>
        <v>0</v>
      </c>
      <c r="Q43" s="26">
        <f t="shared" ref="Q43:AA43" si="11">Q16+Q38+Q41</f>
        <v>0</v>
      </c>
      <c r="R43" s="26">
        <f t="shared" si="11"/>
        <v>153</v>
      </c>
      <c r="S43" s="26">
        <f t="shared" si="11"/>
        <v>0</v>
      </c>
      <c r="T43" s="26">
        <f t="shared" si="11"/>
        <v>-6500</v>
      </c>
      <c r="U43" s="26">
        <f t="shared" si="11"/>
        <v>753</v>
      </c>
      <c r="V43" s="26">
        <f t="shared" si="11"/>
        <v>0</v>
      </c>
      <c r="W43" s="26">
        <f t="shared" si="11"/>
        <v>-2000</v>
      </c>
      <c r="X43" s="26">
        <f t="shared" si="11"/>
        <v>2753</v>
      </c>
      <c r="Y43" s="26">
        <f t="shared" si="11"/>
        <v>50</v>
      </c>
      <c r="Z43" s="26">
        <f t="shared" si="11"/>
        <v>0</v>
      </c>
      <c r="AA43" s="26">
        <f t="shared" si="11"/>
        <v>1153</v>
      </c>
      <c r="AB43" s="26">
        <f t="shared" si="1"/>
        <v>-3638</v>
      </c>
    </row>
    <row r="44" spans="2:29" ht="15" thickTop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E561-CD0F-406E-B1F8-6B972EF9CF63}">
  <dimension ref="B2:AB1000"/>
  <sheetViews>
    <sheetView workbookViewId="0">
      <selection activeCell="AB35" sqref="AB35"/>
    </sheetView>
  </sheetViews>
  <sheetFormatPr baseColWidth="10" defaultColWidth="14.44140625" defaultRowHeight="14.4" outlineLevelRow="1" outlineLevelCol="1" x14ac:dyDescent="0.3"/>
  <cols>
    <col min="1" max="1" width="10.6640625" customWidth="1"/>
    <col min="2" max="2" width="50.5546875" customWidth="1"/>
    <col min="3" max="3" width="10" hidden="1" customWidth="1" outlineLevel="1"/>
    <col min="4" max="4" width="11.109375" hidden="1" customWidth="1" outlineLevel="1"/>
    <col min="5" max="5" width="10.44140625" hidden="1" customWidth="1" outlineLevel="1"/>
    <col min="6" max="6" width="10" hidden="1" customWidth="1" outlineLevel="1"/>
    <col min="7" max="7" width="8.88671875" hidden="1" customWidth="1" outlineLevel="1"/>
    <col min="8" max="8" width="10.44140625" hidden="1" customWidth="1" outlineLevel="1"/>
    <col min="9" max="9" width="9.33203125" hidden="1" customWidth="1" outlineLevel="1"/>
    <col min="10" max="11" width="10" hidden="1" customWidth="1" outlineLevel="1"/>
    <col min="12" max="14" width="9.33203125" hidden="1" customWidth="1" outlineLevel="1"/>
    <col min="15" max="15" width="11.109375" customWidth="1" collapsed="1"/>
    <col min="16" max="23" width="11.109375" customWidth="1"/>
    <col min="24" max="24" width="12.109375" customWidth="1"/>
    <col min="25" max="27" width="11.109375" customWidth="1"/>
    <col min="28" max="28" width="14.88671875" customWidth="1"/>
  </cols>
  <sheetData>
    <row r="2" spans="2:28" ht="25.8" x14ac:dyDescent="0.5">
      <c r="B2" s="72" t="s">
        <v>0</v>
      </c>
    </row>
    <row r="3" spans="2:28" ht="21" x14ac:dyDescent="0.4">
      <c r="B3" s="73">
        <v>202209</v>
      </c>
    </row>
    <row r="7" spans="2:28" ht="15.6" x14ac:dyDescent="0.3">
      <c r="B7" s="74" t="s">
        <v>215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 t="s">
        <v>1</v>
      </c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 t="s">
        <v>154</v>
      </c>
    </row>
    <row r="8" spans="2:28" ht="31.2" x14ac:dyDescent="0.3">
      <c r="B8" s="76"/>
      <c r="C8" s="77">
        <v>44470</v>
      </c>
      <c r="D8" s="77">
        <v>44501</v>
      </c>
      <c r="E8" s="77">
        <v>44531</v>
      </c>
      <c r="F8" s="77">
        <v>44562</v>
      </c>
      <c r="G8" s="77">
        <v>44593</v>
      </c>
      <c r="H8" s="77">
        <v>44621</v>
      </c>
      <c r="I8" s="77">
        <v>44652</v>
      </c>
      <c r="J8" s="77">
        <v>44682</v>
      </c>
      <c r="K8" s="77">
        <v>44713</v>
      </c>
      <c r="L8" s="77">
        <v>44743</v>
      </c>
      <c r="M8" s="77">
        <v>44774</v>
      </c>
      <c r="N8" s="77">
        <v>44805</v>
      </c>
      <c r="O8" s="77" t="s">
        <v>141</v>
      </c>
      <c r="P8" s="77" t="s">
        <v>142</v>
      </c>
      <c r="Q8" s="77" t="s">
        <v>143</v>
      </c>
      <c r="R8" s="77" t="s">
        <v>144</v>
      </c>
      <c r="S8" s="77" t="s">
        <v>145</v>
      </c>
      <c r="T8" s="77" t="s">
        <v>146</v>
      </c>
      <c r="U8" s="77" t="s">
        <v>147</v>
      </c>
      <c r="V8" s="77" t="s">
        <v>148</v>
      </c>
      <c r="W8" s="77" t="s">
        <v>149</v>
      </c>
      <c r="X8" s="78" t="s">
        <v>150</v>
      </c>
      <c r="Y8" s="77" t="s">
        <v>151</v>
      </c>
      <c r="Z8" s="77" t="s">
        <v>152</v>
      </c>
      <c r="AA8" s="77" t="s">
        <v>153</v>
      </c>
      <c r="AB8" s="77" t="s">
        <v>157</v>
      </c>
    </row>
    <row r="9" spans="2:28" x14ac:dyDescent="0.3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2:28" ht="21" x14ac:dyDescent="0.4">
      <c r="B10" s="80" t="s">
        <v>3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2:28" x14ac:dyDescent="0.3">
      <c r="B11" s="82" t="s">
        <v>4</v>
      </c>
      <c r="C11" s="83">
        <v>-59395.31</v>
      </c>
      <c r="D11" s="83">
        <v>-225340</v>
      </c>
      <c r="E11" s="83">
        <v>-90672</v>
      </c>
      <c r="F11" s="83">
        <v>-16135</v>
      </c>
      <c r="G11" s="83">
        <v>-44578.81</v>
      </c>
      <c r="H11" s="83">
        <v>-92354</v>
      </c>
      <c r="I11" s="83">
        <v>-48832</v>
      </c>
      <c r="J11" s="83">
        <v>-76846</v>
      </c>
      <c r="K11" s="83">
        <v>-124071.03999999999</v>
      </c>
      <c r="L11" s="83">
        <v>-6902</v>
      </c>
      <c r="M11" s="83">
        <v>-36183.79</v>
      </c>
      <c r="N11" s="83">
        <v>55</v>
      </c>
      <c r="O11" s="83">
        <v>-821254.95000000007</v>
      </c>
      <c r="P11" s="83">
        <f t="shared" ref="P11:AA11" si="0">SUM(P12:P25)</f>
        <v>-13000</v>
      </c>
      <c r="Q11" s="83">
        <f t="shared" si="0"/>
        <v>-13000</v>
      </c>
      <c r="R11" s="83">
        <f t="shared" si="0"/>
        <v>-128000</v>
      </c>
      <c r="S11" s="83">
        <f t="shared" si="0"/>
        <v>-13000</v>
      </c>
      <c r="T11" s="83">
        <f t="shared" si="0"/>
        <v>-133000</v>
      </c>
      <c r="U11" s="83">
        <f t="shared" si="0"/>
        <v>-131000</v>
      </c>
      <c r="V11" s="83">
        <f t="shared" si="0"/>
        <v>-3000</v>
      </c>
      <c r="W11" s="83">
        <f t="shared" si="0"/>
        <v>-3000</v>
      </c>
      <c r="X11" s="83">
        <f t="shared" si="0"/>
        <v>-8000</v>
      </c>
      <c r="Y11" s="83">
        <f t="shared" si="0"/>
        <v>-63000</v>
      </c>
      <c r="Z11" s="83">
        <f t="shared" si="0"/>
        <v>-173000</v>
      </c>
      <c r="AA11" s="83">
        <f t="shared" si="0"/>
        <v>-249189</v>
      </c>
      <c r="AB11" s="83">
        <f t="shared" ref="AB11:AB19" si="1">SUM(P11:AA11)</f>
        <v>-930189</v>
      </c>
    </row>
    <row r="12" spans="2:28" outlineLevel="1" x14ac:dyDescent="0.3">
      <c r="B12" s="84" t="s">
        <v>23</v>
      </c>
      <c r="C12" s="85">
        <v>0</v>
      </c>
      <c r="D12" s="85">
        <v>-94455</v>
      </c>
      <c r="E12" s="85">
        <v>0</v>
      </c>
      <c r="F12" s="85"/>
      <c r="G12" s="85">
        <v>0</v>
      </c>
      <c r="H12" s="85"/>
      <c r="I12" s="85"/>
      <c r="J12" s="85"/>
      <c r="K12" s="85">
        <v>-107888</v>
      </c>
      <c r="L12" s="85">
        <v>0</v>
      </c>
      <c r="M12" s="85"/>
      <c r="N12" s="85"/>
      <c r="O12" s="85">
        <v>-202343</v>
      </c>
      <c r="P12" s="85"/>
      <c r="Q12" s="85"/>
      <c r="R12" s="85"/>
      <c r="S12" s="85"/>
      <c r="T12" s="85"/>
      <c r="U12" s="85">
        <v>-95000</v>
      </c>
      <c r="V12" s="85"/>
      <c r="W12" s="85"/>
      <c r="X12" s="85"/>
      <c r="Y12" s="85">
        <v>-45000</v>
      </c>
      <c r="Z12" s="85"/>
      <c r="AA12" s="85"/>
      <c r="AB12" s="85">
        <f t="shared" si="1"/>
        <v>-140000</v>
      </c>
    </row>
    <row r="13" spans="2:28" outlineLevel="1" x14ac:dyDescent="0.3">
      <c r="B13" s="84" t="s">
        <v>24</v>
      </c>
      <c r="C13" s="85">
        <v>0</v>
      </c>
      <c r="D13" s="85">
        <v>0</v>
      </c>
      <c r="E13" s="85">
        <v>-20848</v>
      </c>
      <c r="F13" s="85"/>
      <c r="G13" s="85"/>
      <c r="H13" s="85"/>
      <c r="I13" s="85"/>
      <c r="J13" s="85"/>
      <c r="K13" s="85">
        <v>-7373.04</v>
      </c>
      <c r="L13" s="85"/>
      <c r="M13" s="85"/>
      <c r="N13" s="85"/>
      <c r="O13" s="85">
        <v>-28221.040000000001</v>
      </c>
      <c r="P13" s="85"/>
      <c r="Q13" s="85"/>
      <c r="R13" s="85"/>
      <c r="S13" s="85"/>
      <c r="T13" s="85"/>
      <c r="U13" s="85">
        <v>-33000</v>
      </c>
      <c r="V13" s="85"/>
      <c r="W13" s="85"/>
      <c r="X13" s="85"/>
      <c r="Y13" s="85"/>
      <c r="Z13" s="85"/>
      <c r="AA13" s="85">
        <v>-37000</v>
      </c>
      <c r="AB13" s="85">
        <f t="shared" si="1"/>
        <v>-70000</v>
      </c>
    </row>
    <row r="14" spans="2:28" outlineLevel="1" x14ac:dyDescent="0.3">
      <c r="B14" s="84" t="s">
        <v>191</v>
      </c>
      <c r="C14" s="85">
        <v>0</v>
      </c>
      <c r="D14" s="85">
        <v>6400</v>
      </c>
      <c r="E14" s="85">
        <v>2850</v>
      </c>
      <c r="F14" s="85"/>
      <c r="G14" s="85"/>
      <c r="H14" s="85"/>
      <c r="I14" s="85"/>
      <c r="J14" s="85"/>
      <c r="K14" s="85"/>
      <c r="L14" s="85"/>
      <c r="M14" s="85"/>
      <c r="N14" s="85"/>
      <c r="O14" s="85">
        <v>9250</v>
      </c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>
        <f t="shared" si="1"/>
        <v>0</v>
      </c>
    </row>
    <row r="15" spans="2:28" outlineLevel="1" x14ac:dyDescent="0.3">
      <c r="B15" s="84" t="s">
        <v>216</v>
      </c>
      <c r="C15" s="85">
        <v>-8060</v>
      </c>
      <c r="D15" s="85">
        <v>-22815</v>
      </c>
      <c r="E15" s="85">
        <v>-600</v>
      </c>
      <c r="F15" s="85">
        <v>-6145</v>
      </c>
      <c r="G15" s="85">
        <v>-8600</v>
      </c>
      <c r="H15" s="85">
        <v>-14030</v>
      </c>
      <c r="I15" s="85">
        <v>-3326</v>
      </c>
      <c r="J15" s="85">
        <v>-3680</v>
      </c>
      <c r="K15" s="85"/>
      <c r="L15" s="85"/>
      <c r="M15" s="85"/>
      <c r="N15" s="85">
        <v>-6130</v>
      </c>
      <c r="O15" s="85">
        <v>-73386</v>
      </c>
      <c r="P15" s="85">
        <v>-10000</v>
      </c>
      <c r="Q15" s="85">
        <v>-10000</v>
      </c>
      <c r="R15" s="85">
        <v>-15000</v>
      </c>
      <c r="S15" s="85">
        <v>-10000</v>
      </c>
      <c r="T15" s="85"/>
      <c r="U15" s="85"/>
      <c r="V15" s="85"/>
      <c r="W15" s="85"/>
      <c r="X15" s="85">
        <v>-5000</v>
      </c>
      <c r="Y15" s="85">
        <v>-15000</v>
      </c>
      <c r="Z15" s="85">
        <v>-10000</v>
      </c>
      <c r="AA15" s="85">
        <v>-10000</v>
      </c>
      <c r="AB15" s="85">
        <f t="shared" si="1"/>
        <v>-85000</v>
      </c>
    </row>
    <row r="16" spans="2:28" outlineLevel="1" x14ac:dyDescent="0.3">
      <c r="B16" s="84" t="s">
        <v>193</v>
      </c>
      <c r="C16" s="85">
        <v>0</v>
      </c>
      <c r="D16" s="85">
        <v>0</v>
      </c>
      <c r="E16" s="85">
        <v>0</v>
      </c>
      <c r="F16" s="85"/>
      <c r="G16" s="85"/>
      <c r="H16" s="85">
        <v>-10260</v>
      </c>
      <c r="I16" s="85"/>
      <c r="J16" s="85"/>
      <c r="K16" s="85"/>
      <c r="L16" s="85"/>
      <c r="M16" s="85"/>
      <c r="N16" s="85"/>
      <c r="O16" s="85">
        <v>-10260</v>
      </c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>
        <f t="shared" si="1"/>
        <v>0</v>
      </c>
    </row>
    <row r="17" spans="2:28" outlineLevel="1" x14ac:dyDescent="0.3">
      <c r="B17" s="84" t="s">
        <v>217</v>
      </c>
      <c r="C17" s="85">
        <v>0</v>
      </c>
      <c r="D17" s="85">
        <v>0</v>
      </c>
      <c r="E17" s="85">
        <v>0</v>
      </c>
      <c r="F17" s="85"/>
      <c r="G17" s="85"/>
      <c r="H17" s="85"/>
      <c r="I17" s="85"/>
      <c r="J17" s="85"/>
      <c r="K17" s="85"/>
      <c r="L17" s="85"/>
      <c r="M17" s="85"/>
      <c r="N17" s="85"/>
      <c r="O17" s="85">
        <v>0</v>
      </c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>
        <v>-35000</v>
      </c>
      <c r="AB17" s="85">
        <f t="shared" si="1"/>
        <v>-35000</v>
      </c>
    </row>
    <row r="18" spans="2:28" outlineLevel="1" x14ac:dyDescent="0.3">
      <c r="B18" s="84" t="s">
        <v>207</v>
      </c>
      <c r="C18" s="85">
        <v>0</v>
      </c>
      <c r="D18" s="85">
        <v>0</v>
      </c>
      <c r="E18" s="85">
        <v>0</v>
      </c>
      <c r="F18" s="85"/>
      <c r="G18" s="85"/>
      <c r="H18" s="85"/>
      <c r="I18" s="85"/>
      <c r="J18" s="85"/>
      <c r="K18" s="85"/>
      <c r="L18" s="85"/>
      <c r="M18" s="85"/>
      <c r="N18" s="85"/>
      <c r="O18" s="85">
        <v>0</v>
      </c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>
        <v>-40000</v>
      </c>
      <c r="AB18" s="85">
        <f t="shared" si="1"/>
        <v>-40000</v>
      </c>
    </row>
    <row r="19" spans="2:28" outlineLevel="1" x14ac:dyDescent="0.3">
      <c r="B19" s="84" t="s">
        <v>25</v>
      </c>
      <c r="C19" s="85">
        <v>0</v>
      </c>
      <c r="D19" s="85">
        <v>0</v>
      </c>
      <c r="E19" s="85">
        <v>-26571</v>
      </c>
      <c r="F19" s="85">
        <v>0</v>
      </c>
      <c r="G19" s="85"/>
      <c r="H19" s="85"/>
      <c r="I19" s="85"/>
      <c r="J19" s="85"/>
      <c r="K19" s="85"/>
      <c r="L19" s="85"/>
      <c r="M19" s="85"/>
      <c r="N19" s="85"/>
      <c r="O19" s="85">
        <v>-26571</v>
      </c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>
        <v>-29189</v>
      </c>
      <c r="AB19" s="85">
        <f t="shared" si="1"/>
        <v>-29189</v>
      </c>
    </row>
    <row r="20" spans="2:28" outlineLevel="1" x14ac:dyDescent="0.3">
      <c r="B20" s="84" t="s">
        <v>173</v>
      </c>
      <c r="C20" s="85">
        <v>-22528</v>
      </c>
      <c r="D20" s="85">
        <v>-72710</v>
      </c>
      <c r="E20" s="85">
        <v>-32798</v>
      </c>
      <c r="F20" s="85">
        <v>-7100</v>
      </c>
      <c r="G20" s="85">
        <v>-1272</v>
      </c>
      <c r="H20" s="85">
        <v>-66664</v>
      </c>
      <c r="I20" s="85">
        <v>-22850</v>
      </c>
      <c r="J20" s="85">
        <v>-73166</v>
      </c>
      <c r="K20" s="85">
        <v>-8810</v>
      </c>
      <c r="L20" s="85">
        <v>-6902</v>
      </c>
      <c r="M20" s="85">
        <v>-3879.59</v>
      </c>
      <c r="N20" s="85">
        <v>6185</v>
      </c>
      <c r="O20" s="85">
        <v>-312494.59000000003</v>
      </c>
      <c r="P20" s="85"/>
      <c r="Q20" s="85"/>
      <c r="R20" s="85">
        <v>-110000</v>
      </c>
      <c r="S20" s="85"/>
      <c r="T20" s="85"/>
      <c r="U20" s="85"/>
      <c r="V20" s="85"/>
      <c r="W20" s="85"/>
      <c r="X20" s="85"/>
      <c r="Y20" s="85"/>
      <c r="Z20" s="85">
        <v>-110000</v>
      </c>
      <c r="AA20" s="85"/>
      <c r="AB20" s="85">
        <v>-220000</v>
      </c>
    </row>
    <row r="21" spans="2:28" ht="15.75" customHeight="1" outlineLevel="1" x14ac:dyDescent="0.3">
      <c r="B21" s="84" t="s">
        <v>27</v>
      </c>
      <c r="C21" s="85">
        <v>0</v>
      </c>
      <c r="D21" s="85">
        <v>0</v>
      </c>
      <c r="E21" s="85">
        <v>0</v>
      </c>
      <c r="F21" s="85"/>
      <c r="G21" s="85"/>
      <c r="H21" s="85"/>
      <c r="I21" s="85"/>
      <c r="J21" s="85"/>
      <c r="K21" s="85"/>
      <c r="L21" s="85"/>
      <c r="M21" s="85"/>
      <c r="N21" s="85"/>
      <c r="O21" s="85">
        <v>0</v>
      </c>
      <c r="P21" s="85">
        <v>-3000</v>
      </c>
      <c r="Q21" s="85">
        <v>-3000</v>
      </c>
      <c r="R21" s="85">
        <v>-3000</v>
      </c>
      <c r="S21" s="85">
        <v>-3000</v>
      </c>
      <c r="T21" s="85">
        <v>-3000</v>
      </c>
      <c r="U21" s="85">
        <v>-3000</v>
      </c>
      <c r="V21" s="85">
        <v>-3000</v>
      </c>
      <c r="W21" s="85">
        <v>-3000</v>
      </c>
      <c r="X21" s="85">
        <v>-3000</v>
      </c>
      <c r="Y21" s="85">
        <v>-3000</v>
      </c>
      <c r="Z21" s="85">
        <v>-3000</v>
      </c>
      <c r="AA21" s="85">
        <v>-3000</v>
      </c>
      <c r="AB21" s="85">
        <f t="shared" ref="AB21:AB35" si="2">SUM(P21:AA21)</f>
        <v>-36000</v>
      </c>
    </row>
    <row r="22" spans="2:28" ht="15.75" customHeight="1" outlineLevel="1" x14ac:dyDescent="0.3">
      <c r="B22" s="84" t="s">
        <v>218</v>
      </c>
      <c r="C22" s="85">
        <v>0</v>
      </c>
      <c r="D22" s="85">
        <v>-41760</v>
      </c>
      <c r="E22" s="85">
        <v>-12705</v>
      </c>
      <c r="F22" s="85">
        <v>-2890</v>
      </c>
      <c r="G22" s="85"/>
      <c r="H22" s="85"/>
      <c r="I22" s="85"/>
      <c r="J22" s="85"/>
      <c r="K22" s="85"/>
      <c r="L22" s="85"/>
      <c r="M22" s="85"/>
      <c r="N22" s="85"/>
      <c r="O22" s="85">
        <v>-57355</v>
      </c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>
        <v>-95000</v>
      </c>
      <c r="AB22" s="85">
        <f t="shared" si="2"/>
        <v>-95000</v>
      </c>
    </row>
    <row r="23" spans="2:28" ht="15.75" customHeight="1" outlineLevel="1" x14ac:dyDescent="0.3">
      <c r="B23" s="84" t="s">
        <v>219</v>
      </c>
      <c r="C23" s="85">
        <v>-28807.31</v>
      </c>
      <c r="D23" s="85">
        <v>0</v>
      </c>
      <c r="E23" s="85">
        <v>0</v>
      </c>
      <c r="F23" s="85"/>
      <c r="G23" s="85">
        <v>-34706.81</v>
      </c>
      <c r="H23" s="85"/>
      <c r="I23" s="85">
        <v>-22656</v>
      </c>
      <c r="J23" s="85"/>
      <c r="K23" s="85"/>
      <c r="L23" s="85"/>
      <c r="M23" s="85">
        <v>-32304.2</v>
      </c>
      <c r="N23" s="85"/>
      <c r="O23" s="85">
        <v>-118474.31999999999</v>
      </c>
      <c r="P23" s="85"/>
      <c r="Q23" s="85"/>
      <c r="R23" s="85"/>
      <c r="S23" s="85"/>
      <c r="T23" s="85">
        <v>-50000</v>
      </c>
      <c r="U23" s="85"/>
      <c r="V23" s="85"/>
      <c r="W23" s="85"/>
      <c r="X23" s="85"/>
      <c r="Y23" s="85"/>
      <c r="Z23" s="85">
        <v>-50000</v>
      </c>
      <c r="AA23" s="85"/>
      <c r="AB23" s="85">
        <f t="shared" si="2"/>
        <v>-100000</v>
      </c>
    </row>
    <row r="24" spans="2:28" ht="15.75" customHeight="1" outlineLevel="1" x14ac:dyDescent="0.3">
      <c r="B24" s="84" t="s">
        <v>208</v>
      </c>
      <c r="C24" s="85">
        <v>0</v>
      </c>
      <c r="D24" s="85">
        <v>0</v>
      </c>
      <c r="E24" s="85">
        <v>0</v>
      </c>
      <c r="F24" s="85"/>
      <c r="G24" s="85"/>
      <c r="H24" s="85"/>
      <c r="I24" s="85"/>
      <c r="J24" s="85"/>
      <c r="K24" s="85"/>
      <c r="L24" s="85"/>
      <c r="M24" s="85"/>
      <c r="N24" s="85"/>
      <c r="O24" s="85">
        <v>0</v>
      </c>
      <c r="P24" s="85"/>
      <c r="Q24" s="85"/>
      <c r="R24" s="85"/>
      <c r="S24" s="85"/>
      <c r="T24" s="85">
        <v>-80000</v>
      </c>
      <c r="U24" s="85"/>
      <c r="V24" s="85"/>
      <c r="W24" s="85"/>
      <c r="X24" s="85"/>
      <c r="Y24" s="85"/>
      <c r="Z24" s="85"/>
      <c r="AA24" s="85"/>
      <c r="AB24" s="85">
        <f t="shared" si="2"/>
        <v>-80000</v>
      </c>
    </row>
    <row r="25" spans="2:28" ht="15.75" customHeight="1" outlineLevel="1" x14ac:dyDescent="0.3">
      <c r="B25" s="84" t="s">
        <v>174</v>
      </c>
      <c r="C25" s="85">
        <v>0</v>
      </c>
      <c r="D25" s="85">
        <v>0</v>
      </c>
      <c r="E25" s="85">
        <v>0</v>
      </c>
      <c r="F25" s="85"/>
      <c r="G25" s="85"/>
      <c r="H25" s="85">
        <v>-1400</v>
      </c>
      <c r="I25" s="85"/>
      <c r="J25" s="85"/>
      <c r="K25" s="85"/>
      <c r="L25" s="85"/>
      <c r="M25" s="85"/>
      <c r="N25" s="85"/>
      <c r="O25" s="85">
        <v>-1400</v>
      </c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>
        <f t="shared" si="2"/>
        <v>0</v>
      </c>
    </row>
    <row r="26" spans="2:28" ht="15.75" customHeight="1" x14ac:dyDescent="0.3">
      <c r="B26" s="82" t="s">
        <v>5</v>
      </c>
      <c r="C26" s="83">
        <v>0</v>
      </c>
      <c r="D26" s="83">
        <v>-51681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-51681</v>
      </c>
      <c r="P26" s="83">
        <f t="shared" ref="P26:AA26" si="3">SUM(P27:P28)</f>
        <v>0</v>
      </c>
      <c r="Q26" s="83">
        <f t="shared" si="3"/>
        <v>0</v>
      </c>
      <c r="R26" s="83">
        <f t="shared" si="3"/>
        <v>0</v>
      </c>
      <c r="S26" s="83">
        <f t="shared" si="3"/>
        <v>0</v>
      </c>
      <c r="T26" s="83">
        <f t="shared" si="3"/>
        <v>0</v>
      </c>
      <c r="U26" s="83">
        <f t="shared" si="3"/>
        <v>0</v>
      </c>
      <c r="V26" s="83">
        <f t="shared" si="3"/>
        <v>0</v>
      </c>
      <c r="W26" s="83">
        <f t="shared" si="3"/>
        <v>0</v>
      </c>
      <c r="X26" s="83">
        <f t="shared" si="3"/>
        <v>0</v>
      </c>
      <c r="Y26" s="83">
        <f t="shared" si="3"/>
        <v>-72973</v>
      </c>
      <c r="Z26" s="83">
        <f t="shared" si="3"/>
        <v>0</v>
      </c>
      <c r="AA26" s="83">
        <f t="shared" si="3"/>
        <v>0</v>
      </c>
      <c r="AB26" s="83">
        <f t="shared" si="2"/>
        <v>-72973</v>
      </c>
    </row>
    <row r="27" spans="2:28" ht="15.75" hidden="1" customHeight="1" outlineLevel="1" x14ac:dyDescent="0.3">
      <c r="B27" s="84" t="s">
        <v>30</v>
      </c>
      <c r="C27" s="85">
        <v>0</v>
      </c>
      <c r="D27" s="85">
        <v>0</v>
      </c>
      <c r="E27" s="85">
        <v>0</v>
      </c>
      <c r="F27" s="85"/>
      <c r="G27" s="85"/>
      <c r="H27" s="85"/>
      <c r="I27" s="85"/>
      <c r="J27" s="85"/>
      <c r="K27" s="85">
        <v>0</v>
      </c>
      <c r="L27" s="85"/>
      <c r="M27" s="85"/>
      <c r="N27" s="85"/>
      <c r="O27" s="85">
        <v>0</v>
      </c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>
        <f t="shared" si="2"/>
        <v>0</v>
      </c>
    </row>
    <row r="28" spans="2:28" ht="15.75" hidden="1" customHeight="1" outlineLevel="1" x14ac:dyDescent="0.3">
      <c r="B28" s="84" t="s">
        <v>32</v>
      </c>
      <c r="C28" s="85">
        <v>0</v>
      </c>
      <c r="D28" s="85">
        <v>-51681</v>
      </c>
      <c r="E28" s="85">
        <v>0</v>
      </c>
      <c r="F28" s="85"/>
      <c r="G28" s="85"/>
      <c r="H28" s="85"/>
      <c r="I28" s="85"/>
      <c r="J28" s="85"/>
      <c r="K28" s="85"/>
      <c r="L28" s="85"/>
      <c r="M28" s="85"/>
      <c r="N28" s="85"/>
      <c r="O28" s="85">
        <v>-51681</v>
      </c>
      <c r="P28" s="85"/>
      <c r="Q28" s="85"/>
      <c r="R28" s="85"/>
      <c r="S28" s="85"/>
      <c r="T28" s="85"/>
      <c r="U28" s="85"/>
      <c r="V28" s="85"/>
      <c r="W28" s="85"/>
      <c r="X28" s="85"/>
      <c r="Y28" s="85">
        <v>-72973</v>
      </c>
      <c r="Z28" s="85"/>
      <c r="AA28" s="85"/>
      <c r="AB28" s="85">
        <f t="shared" si="2"/>
        <v>-72973</v>
      </c>
    </row>
    <row r="29" spans="2:28" ht="15.75" customHeight="1" collapsed="1" x14ac:dyDescent="0.3">
      <c r="B29" s="82" t="s">
        <v>6</v>
      </c>
      <c r="C29" s="83">
        <v>0</v>
      </c>
      <c r="D29" s="83">
        <v>0</v>
      </c>
      <c r="E29" s="83">
        <v>0</v>
      </c>
      <c r="F29" s="83">
        <v>0</v>
      </c>
      <c r="G29" s="83">
        <v>0</v>
      </c>
      <c r="H29" s="83">
        <v>0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f t="shared" ref="P29:AA29" si="4">SUM(P30)</f>
        <v>0</v>
      </c>
      <c r="Q29" s="83">
        <f t="shared" si="4"/>
        <v>0</v>
      </c>
      <c r="R29" s="83">
        <f t="shared" si="4"/>
        <v>0</v>
      </c>
      <c r="S29" s="83">
        <f t="shared" si="4"/>
        <v>0</v>
      </c>
      <c r="T29" s="83">
        <f t="shared" si="4"/>
        <v>0</v>
      </c>
      <c r="U29" s="83">
        <f t="shared" si="4"/>
        <v>0</v>
      </c>
      <c r="V29" s="83">
        <f t="shared" si="4"/>
        <v>0</v>
      </c>
      <c r="W29" s="83">
        <f t="shared" si="4"/>
        <v>0</v>
      </c>
      <c r="X29" s="83">
        <f t="shared" si="4"/>
        <v>0</v>
      </c>
      <c r="Y29" s="83">
        <f t="shared" si="4"/>
        <v>0</v>
      </c>
      <c r="Z29" s="83">
        <f t="shared" si="4"/>
        <v>0</v>
      </c>
      <c r="AA29" s="83">
        <f t="shared" si="4"/>
        <v>0</v>
      </c>
      <c r="AB29" s="83">
        <f t="shared" si="2"/>
        <v>0</v>
      </c>
    </row>
    <row r="30" spans="2:28" ht="15.75" customHeight="1" outlineLevel="1" x14ac:dyDescent="0.3">
      <c r="B30" s="84" t="s">
        <v>35</v>
      </c>
      <c r="C30" s="85">
        <v>0</v>
      </c>
      <c r="D30" s="85">
        <v>0</v>
      </c>
      <c r="E30" s="85">
        <v>0</v>
      </c>
      <c r="F30" s="85"/>
      <c r="G30" s="85"/>
      <c r="H30" s="85"/>
      <c r="I30" s="85"/>
      <c r="J30" s="85"/>
      <c r="K30" s="85"/>
      <c r="L30" s="85">
        <v>0</v>
      </c>
      <c r="M30" s="85"/>
      <c r="N30" s="85"/>
      <c r="O30" s="85">
        <v>0</v>
      </c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>
        <f t="shared" si="2"/>
        <v>0</v>
      </c>
    </row>
    <row r="31" spans="2:28" ht="15.75" customHeight="1" x14ac:dyDescent="0.3">
      <c r="B31" s="82" t="s">
        <v>7</v>
      </c>
      <c r="C31" s="83">
        <v>0</v>
      </c>
      <c r="D31" s="83">
        <v>0</v>
      </c>
      <c r="E31" s="83">
        <v>0</v>
      </c>
      <c r="F31" s="83">
        <v>-93110</v>
      </c>
      <c r="G31" s="83">
        <v>512.05999999999995</v>
      </c>
      <c r="H31" s="83">
        <v>0</v>
      </c>
      <c r="I31" s="83">
        <v>0</v>
      </c>
      <c r="J31" s="83">
        <v>-2500</v>
      </c>
      <c r="K31" s="83">
        <v>-18135</v>
      </c>
      <c r="L31" s="83">
        <v>0</v>
      </c>
      <c r="M31" s="83">
        <v>0</v>
      </c>
      <c r="N31" s="83">
        <v>-523.33000000000004</v>
      </c>
      <c r="O31" s="83">
        <v>-113756.27</v>
      </c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3">
        <f>SUM(P34:AA34)</f>
        <v>-84282</v>
      </c>
    </row>
    <row r="32" spans="2:28" ht="15.75" customHeight="1" outlineLevel="1" x14ac:dyDescent="0.3">
      <c r="B32" s="84" t="s">
        <v>161</v>
      </c>
      <c r="C32" s="85">
        <v>0</v>
      </c>
      <c r="D32" s="85">
        <v>0</v>
      </c>
      <c r="E32" s="85">
        <v>0</v>
      </c>
      <c r="F32" s="85"/>
      <c r="G32" s="85"/>
      <c r="H32" s="85"/>
      <c r="I32" s="85"/>
      <c r="J32" s="85">
        <v>-2500</v>
      </c>
      <c r="K32" s="85"/>
      <c r="L32" s="85"/>
      <c r="M32" s="85"/>
      <c r="N32" s="85"/>
      <c r="O32" s="85">
        <v>-2500</v>
      </c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>
        <f t="shared" si="2"/>
        <v>0</v>
      </c>
    </row>
    <row r="33" spans="2:28" ht="15.75" customHeight="1" outlineLevel="1" x14ac:dyDescent="0.3">
      <c r="B33" s="84" t="s">
        <v>162</v>
      </c>
      <c r="C33" s="85">
        <v>0</v>
      </c>
      <c r="D33" s="85">
        <v>0</v>
      </c>
      <c r="E33" s="85">
        <v>0</v>
      </c>
      <c r="F33" s="85">
        <v>-53210</v>
      </c>
      <c r="G33" s="85">
        <v>512.05999999999995</v>
      </c>
      <c r="H33" s="85"/>
      <c r="I33" s="85"/>
      <c r="J33" s="85"/>
      <c r="K33" s="85"/>
      <c r="L33" s="85"/>
      <c r="M33" s="85"/>
      <c r="N33" s="85">
        <v>-523.33000000000004</v>
      </c>
      <c r="O33" s="85">
        <v>-53221.270000000004</v>
      </c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>
        <f t="shared" si="2"/>
        <v>0</v>
      </c>
    </row>
    <row r="34" spans="2:28" ht="15.75" customHeight="1" outlineLevel="1" x14ac:dyDescent="0.3">
      <c r="B34" s="84" t="s">
        <v>42</v>
      </c>
      <c r="C34" s="85">
        <v>0</v>
      </c>
      <c r="D34" s="85">
        <v>0</v>
      </c>
      <c r="E34" s="85">
        <v>0</v>
      </c>
      <c r="F34" s="85">
        <v>-39900</v>
      </c>
      <c r="G34" s="85"/>
      <c r="H34" s="85"/>
      <c r="I34" s="85"/>
      <c r="J34" s="85"/>
      <c r="K34" s="85">
        <v>-18135</v>
      </c>
      <c r="L34" s="85"/>
      <c r="M34" s="85"/>
      <c r="N34" s="85"/>
      <c r="O34" s="85">
        <v>-58035</v>
      </c>
      <c r="P34" s="85">
        <v>-8000</v>
      </c>
      <c r="Q34" s="85">
        <v>-10282</v>
      </c>
      <c r="R34" s="85">
        <v>-8000</v>
      </c>
      <c r="S34" s="85">
        <v>-8000</v>
      </c>
      <c r="T34" s="85">
        <v>-8000</v>
      </c>
      <c r="U34" s="85"/>
      <c r="V34" s="85"/>
      <c r="W34" s="85">
        <v>-10000</v>
      </c>
      <c r="X34" s="85">
        <v>-8000</v>
      </c>
      <c r="Y34" s="85">
        <v>-8000</v>
      </c>
      <c r="Z34" s="85">
        <v>-8000</v>
      </c>
      <c r="AA34" s="85">
        <v>-8000</v>
      </c>
      <c r="AB34" s="85">
        <f t="shared" si="2"/>
        <v>-84282</v>
      </c>
    </row>
    <row r="35" spans="2:28" ht="15.75" customHeight="1" x14ac:dyDescent="0.3">
      <c r="B35" s="86" t="s">
        <v>8</v>
      </c>
      <c r="C35" s="87">
        <v>-59395.31</v>
      </c>
      <c r="D35" s="87">
        <v>-277021</v>
      </c>
      <c r="E35" s="87">
        <v>-90672</v>
      </c>
      <c r="F35" s="87">
        <v>-109245</v>
      </c>
      <c r="G35" s="87">
        <v>-44066.75</v>
      </c>
      <c r="H35" s="87">
        <v>-92354</v>
      </c>
      <c r="I35" s="87">
        <v>-48832</v>
      </c>
      <c r="J35" s="87">
        <v>-79346</v>
      </c>
      <c r="K35" s="87">
        <v>-142206.03999999998</v>
      </c>
      <c r="L35" s="87">
        <v>-6902</v>
      </c>
      <c r="M35" s="87">
        <v>-36183.79</v>
      </c>
      <c r="N35" s="87">
        <v>-468.33000000000004</v>
      </c>
      <c r="O35" s="87">
        <v>-986692.22000000009</v>
      </c>
      <c r="P35" s="87">
        <f t="shared" ref="P35:AA35" si="5">P11+P26+P29+P34</f>
        <v>-21000</v>
      </c>
      <c r="Q35" s="87">
        <f t="shared" si="5"/>
        <v>-23282</v>
      </c>
      <c r="R35" s="87">
        <f t="shared" si="5"/>
        <v>-136000</v>
      </c>
      <c r="S35" s="87">
        <f t="shared" si="5"/>
        <v>-21000</v>
      </c>
      <c r="T35" s="87">
        <f t="shared" si="5"/>
        <v>-141000</v>
      </c>
      <c r="U35" s="87">
        <f t="shared" si="5"/>
        <v>-131000</v>
      </c>
      <c r="V35" s="87">
        <f t="shared" si="5"/>
        <v>-3000</v>
      </c>
      <c r="W35" s="87">
        <f t="shared" si="5"/>
        <v>-13000</v>
      </c>
      <c r="X35" s="87">
        <f t="shared" si="5"/>
        <v>-16000</v>
      </c>
      <c r="Y35" s="87">
        <f t="shared" si="5"/>
        <v>-143973</v>
      </c>
      <c r="Z35" s="87">
        <f t="shared" si="5"/>
        <v>-181000</v>
      </c>
      <c r="AA35" s="87">
        <f t="shared" si="5"/>
        <v>-257189</v>
      </c>
      <c r="AB35" s="87">
        <f t="shared" si="2"/>
        <v>-1087444</v>
      </c>
    </row>
    <row r="36" spans="2:28" ht="15.75" customHeight="1" x14ac:dyDescent="0.3"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</row>
    <row r="37" spans="2:28" ht="15.75" customHeight="1" x14ac:dyDescent="0.3"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</row>
    <row r="38" spans="2:28" ht="15.75" customHeight="1" x14ac:dyDescent="0.4">
      <c r="B38" s="80" t="s">
        <v>9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>
        <v>0</v>
      </c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>
        <f t="shared" ref="AB38:AB84" si="6">SUM(P38:AA38)</f>
        <v>0</v>
      </c>
    </row>
    <row r="39" spans="2:28" ht="15.75" customHeight="1" x14ac:dyDescent="0.3">
      <c r="B39" s="82" t="s">
        <v>10</v>
      </c>
      <c r="C39" s="83">
        <v>70906.7</v>
      </c>
      <c r="D39" s="83">
        <v>35880.6</v>
      </c>
      <c r="E39" s="83">
        <v>39693.85</v>
      </c>
      <c r="F39" s="83">
        <v>3609.6</v>
      </c>
      <c r="G39" s="83">
        <v>26114.799999999999</v>
      </c>
      <c r="H39" s="83">
        <v>177440.1</v>
      </c>
      <c r="I39" s="83">
        <v>45383</v>
      </c>
      <c r="J39" s="83">
        <v>8984</v>
      </c>
      <c r="K39" s="83">
        <v>2000</v>
      </c>
      <c r="L39" s="83">
        <v>3392.9</v>
      </c>
      <c r="M39" s="83">
        <v>44170</v>
      </c>
      <c r="N39" s="83">
        <v>23666</v>
      </c>
      <c r="O39" s="83">
        <v>481241.55000000005</v>
      </c>
      <c r="P39" s="83">
        <f t="shared" ref="P39:AA39" si="7">SUM(P40:P54)</f>
        <v>61500</v>
      </c>
      <c r="Q39" s="83">
        <f t="shared" si="7"/>
        <v>35000</v>
      </c>
      <c r="R39" s="83">
        <f t="shared" si="7"/>
        <v>26000</v>
      </c>
      <c r="S39" s="83">
        <f t="shared" si="7"/>
        <v>30000</v>
      </c>
      <c r="T39" s="83">
        <f t="shared" si="7"/>
        <v>210000</v>
      </c>
      <c r="U39" s="83">
        <f t="shared" si="7"/>
        <v>2000</v>
      </c>
      <c r="V39" s="83">
        <f t="shared" si="7"/>
        <v>2000</v>
      </c>
      <c r="W39" s="83">
        <f t="shared" si="7"/>
        <v>97500</v>
      </c>
      <c r="X39" s="83">
        <f t="shared" si="7"/>
        <v>49000</v>
      </c>
      <c r="Y39" s="83">
        <f t="shared" si="7"/>
        <v>25000</v>
      </c>
      <c r="Z39" s="83">
        <f t="shared" si="7"/>
        <v>99000</v>
      </c>
      <c r="AA39" s="83">
        <f t="shared" si="7"/>
        <v>19000</v>
      </c>
      <c r="AB39" s="83">
        <f t="shared" si="6"/>
        <v>656000</v>
      </c>
    </row>
    <row r="40" spans="2:28" ht="15.75" customHeight="1" outlineLevel="1" x14ac:dyDescent="0.3">
      <c r="B40" s="84" t="s">
        <v>51</v>
      </c>
      <c r="C40" s="85">
        <v>0</v>
      </c>
      <c r="D40" s="85">
        <v>0</v>
      </c>
      <c r="E40" s="85">
        <v>1782.25</v>
      </c>
      <c r="F40" s="85"/>
      <c r="G40" s="85"/>
      <c r="H40" s="85"/>
      <c r="I40" s="85"/>
      <c r="J40" s="85"/>
      <c r="K40" s="85"/>
      <c r="L40" s="85"/>
      <c r="M40" s="85"/>
      <c r="N40" s="85"/>
      <c r="O40" s="85">
        <v>1782.25</v>
      </c>
      <c r="P40" s="85">
        <v>2000</v>
      </c>
      <c r="Q40" s="85">
        <v>2000</v>
      </c>
      <c r="R40" s="85">
        <v>2000</v>
      </c>
      <c r="S40" s="85">
        <v>2000</v>
      </c>
      <c r="T40" s="85">
        <v>2000</v>
      </c>
      <c r="U40" s="85"/>
      <c r="V40" s="85"/>
      <c r="W40" s="85">
        <v>2000</v>
      </c>
      <c r="X40" s="85">
        <v>2000</v>
      </c>
      <c r="Y40" s="85">
        <v>1000</v>
      </c>
      <c r="Z40" s="85">
        <v>1000</v>
      </c>
      <c r="AA40" s="85">
        <v>1000</v>
      </c>
      <c r="AB40" s="85">
        <f t="shared" si="6"/>
        <v>17000</v>
      </c>
    </row>
    <row r="41" spans="2:28" ht="15.75" customHeight="1" outlineLevel="1" x14ac:dyDescent="0.3">
      <c r="B41" s="84" t="s">
        <v>220</v>
      </c>
      <c r="C41" s="85">
        <v>0</v>
      </c>
      <c r="D41" s="85">
        <v>0</v>
      </c>
      <c r="E41" s="85">
        <v>0</v>
      </c>
      <c r="F41" s="85"/>
      <c r="G41" s="85"/>
      <c r="H41" s="85"/>
      <c r="I41" s="85"/>
      <c r="J41" s="85"/>
      <c r="K41" s="85"/>
      <c r="L41" s="85"/>
      <c r="M41" s="85"/>
      <c r="N41" s="85"/>
      <c r="O41" s="85">
        <v>0</v>
      </c>
      <c r="P41" s="85"/>
      <c r="Q41" s="85"/>
      <c r="R41" s="85"/>
      <c r="S41" s="85"/>
      <c r="T41" s="85"/>
      <c r="U41" s="85"/>
      <c r="V41" s="85"/>
      <c r="W41" s="85"/>
      <c r="X41" s="85">
        <v>4000</v>
      </c>
      <c r="Y41" s="85"/>
      <c r="Z41" s="85"/>
      <c r="AA41" s="85"/>
      <c r="AB41" s="85">
        <f t="shared" si="6"/>
        <v>4000</v>
      </c>
    </row>
    <row r="42" spans="2:28" ht="15.75" customHeight="1" outlineLevel="1" x14ac:dyDescent="0.3">
      <c r="B42" s="84" t="s">
        <v>221</v>
      </c>
      <c r="C42" s="85">
        <v>0</v>
      </c>
      <c r="D42" s="85">
        <v>0</v>
      </c>
      <c r="E42" s="85">
        <v>0</v>
      </c>
      <c r="F42" s="85"/>
      <c r="G42" s="85"/>
      <c r="H42" s="85"/>
      <c r="I42" s="85"/>
      <c r="J42" s="85"/>
      <c r="K42" s="85"/>
      <c r="L42" s="85"/>
      <c r="M42" s="85"/>
      <c r="N42" s="85"/>
      <c r="O42" s="85">
        <v>0</v>
      </c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>
        <v>20000</v>
      </c>
      <c r="AA42" s="85"/>
      <c r="AB42" s="85">
        <f t="shared" si="6"/>
        <v>20000</v>
      </c>
    </row>
    <row r="43" spans="2:28" ht="15.75" customHeight="1" outlineLevel="1" x14ac:dyDescent="0.3">
      <c r="B43" s="84" t="s">
        <v>222</v>
      </c>
      <c r="C43" s="85">
        <v>0</v>
      </c>
      <c r="D43" s="85">
        <v>0</v>
      </c>
      <c r="E43" s="85">
        <v>0</v>
      </c>
      <c r="F43" s="85"/>
      <c r="G43" s="85"/>
      <c r="H43" s="85"/>
      <c r="I43" s="85"/>
      <c r="J43" s="85"/>
      <c r="K43" s="85"/>
      <c r="L43" s="85"/>
      <c r="M43" s="85"/>
      <c r="N43" s="85"/>
      <c r="O43" s="85">
        <v>0</v>
      </c>
      <c r="P43" s="85">
        <v>2000</v>
      </c>
      <c r="Q43" s="85">
        <v>2000</v>
      </c>
      <c r="R43" s="85">
        <v>2000</v>
      </c>
      <c r="S43" s="85">
        <v>2000</v>
      </c>
      <c r="T43" s="85">
        <v>2000</v>
      </c>
      <c r="U43" s="85"/>
      <c r="V43" s="85"/>
      <c r="W43" s="85">
        <v>2000</v>
      </c>
      <c r="X43" s="85">
        <v>2000</v>
      </c>
      <c r="Y43" s="85">
        <v>2000</v>
      </c>
      <c r="Z43" s="85">
        <v>2000</v>
      </c>
      <c r="AA43" s="85">
        <v>2000</v>
      </c>
      <c r="AB43" s="85">
        <f t="shared" si="6"/>
        <v>20000</v>
      </c>
    </row>
    <row r="44" spans="2:28" ht="15.75" customHeight="1" outlineLevel="1" x14ac:dyDescent="0.3">
      <c r="B44" s="84" t="s">
        <v>223</v>
      </c>
      <c r="C44" s="85">
        <v>0</v>
      </c>
      <c r="D44" s="85">
        <v>0</v>
      </c>
      <c r="E44" s="85">
        <v>0</v>
      </c>
      <c r="F44" s="85"/>
      <c r="G44" s="85"/>
      <c r="H44" s="85"/>
      <c r="I44" s="85"/>
      <c r="J44" s="85">
        <v>1050</v>
      </c>
      <c r="K44" s="85"/>
      <c r="L44" s="85"/>
      <c r="M44" s="85"/>
      <c r="N44" s="85"/>
      <c r="O44" s="85">
        <v>1050</v>
      </c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>
        <f t="shared" si="6"/>
        <v>0</v>
      </c>
    </row>
    <row r="45" spans="2:28" ht="15.75" customHeight="1" outlineLevel="1" x14ac:dyDescent="0.3">
      <c r="B45" s="84" t="s">
        <v>224</v>
      </c>
      <c r="C45" s="85">
        <v>0</v>
      </c>
      <c r="D45" s="85">
        <v>0</v>
      </c>
      <c r="E45" s="85">
        <v>0</v>
      </c>
      <c r="F45" s="85"/>
      <c r="G45" s="85"/>
      <c r="H45" s="85"/>
      <c r="I45" s="85"/>
      <c r="J45" s="85"/>
      <c r="K45" s="85"/>
      <c r="L45" s="85"/>
      <c r="M45" s="85"/>
      <c r="N45" s="85"/>
      <c r="O45" s="85">
        <v>0</v>
      </c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>
        <v>60000</v>
      </c>
      <c r="AA45" s="85"/>
      <c r="AB45" s="85">
        <f t="shared" si="6"/>
        <v>60000</v>
      </c>
    </row>
    <row r="46" spans="2:28" ht="15.75" customHeight="1" outlineLevel="1" x14ac:dyDescent="0.3">
      <c r="B46" s="84" t="s">
        <v>52</v>
      </c>
      <c r="C46" s="85">
        <v>0</v>
      </c>
      <c r="D46" s="85">
        <v>0</v>
      </c>
      <c r="E46" s="85">
        <v>0</v>
      </c>
      <c r="F46" s="85"/>
      <c r="G46" s="85"/>
      <c r="H46" s="85"/>
      <c r="I46" s="85"/>
      <c r="J46" s="85"/>
      <c r="K46" s="85"/>
      <c r="L46" s="85">
        <v>900</v>
      </c>
      <c r="M46" s="85"/>
      <c r="N46" s="85"/>
      <c r="O46" s="85">
        <v>900</v>
      </c>
      <c r="P46" s="85">
        <v>1000</v>
      </c>
      <c r="Q46" s="85">
        <v>1000</v>
      </c>
      <c r="R46" s="85">
        <v>1000</v>
      </c>
      <c r="S46" s="85">
        <v>1000</v>
      </c>
      <c r="T46" s="85">
        <v>1000</v>
      </c>
      <c r="U46" s="85">
        <v>1000</v>
      </c>
      <c r="V46" s="85">
        <v>1000</v>
      </c>
      <c r="W46" s="85">
        <v>1000</v>
      </c>
      <c r="X46" s="85">
        <v>1000</v>
      </c>
      <c r="Y46" s="85">
        <v>1000</v>
      </c>
      <c r="Z46" s="85">
        <v>1000</v>
      </c>
      <c r="AA46" s="85">
        <v>1000</v>
      </c>
      <c r="AB46" s="85">
        <f t="shared" si="6"/>
        <v>12000</v>
      </c>
    </row>
    <row r="47" spans="2:28" ht="15.75" customHeight="1" outlineLevel="1" x14ac:dyDescent="0.3">
      <c r="B47" s="84" t="s">
        <v>54</v>
      </c>
      <c r="C47" s="85">
        <v>44198</v>
      </c>
      <c r="D47" s="85">
        <v>3193</v>
      </c>
      <c r="E47" s="85">
        <v>26757</v>
      </c>
      <c r="F47" s="85">
        <v>3609.6</v>
      </c>
      <c r="G47" s="85">
        <v>5749.8</v>
      </c>
      <c r="H47" s="85">
        <v>5750.2</v>
      </c>
      <c r="I47" s="85">
        <v>3993.6</v>
      </c>
      <c r="J47" s="85"/>
      <c r="K47" s="85"/>
      <c r="L47" s="85"/>
      <c r="M47" s="85"/>
      <c r="N47" s="85">
        <v>21084</v>
      </c>
      <c r="O47" s="85">
        <v>114335.20000000001</v>
      </c>
      <c r="P47" s="85">
        <v>25000</v>
      </c>
      <c r="Q47" s="85">
        <v>15000</v>
      </c>
      <c r="R47" s="85"/>
      <c r="S47" s="85"/>
      <c r="T47" s="85"/>
      <c r="U47" s="85"/>
      <c r="V47" s="85"/>
      <c r="W47" s="85">
        <v>35000</v>
      </c>
      <c r="X47" s="85">
        <v>15000</v>
      </c>
      <c r="Y47" s="85"/>
      <c r="Z47" s="85"/>
      <c r="AA47" s="85"/>
      <c r="AB47" s="85">
        <f t="shared" si="6"/>
        <v>90000</v>
      </c>
    </row>
    <row r="48" spans="2:28" ht="15.75" customHeight="1" outlineLevel="1" x14ac:dyDescent="0.3">
      <c r="B48" s="84" t="s">
        <v>196</v>
      </c>
      <c r="C48" s="85">
        <v>0</v>
      </c>
      <c r="D48" s="85">
        <v>0</v>
      </c>
      <c r="E48" s="85">
        <v>1235</v>
      </c>
      <c r="F48" s="85"/>
      <c r="G48" s="85"/>
      <c r="H48" s="85"/>
      <c r="I48" s="85"/>
      <c r="J48" s="85"/>
      <c r="K48" s="85"/>
      <c r="L48" s="85"/>
      <c r="M48" s="85"/>
      <c r="N48" s="85"/>
      <c r="O48" s="85">
        <v>1235</v>
      </c>
      <c r="P48" s="85">
        <v>1500</v>
      </c>
      <c r="Q48" s="85"/>
      <c r="R48" s="85"/>
      <c r="S48" s="85"/>
      <c r="T48" s="85"/>
      <c r="U48" s="85"/>
      <c r="V48" s="85"/>
      <c r="W48" s="85">
        <v>1500</v>
      </c>
      <c r="X48" s="85"/>
      <c r="Y48" s="85"/>
      <c r="Z48" s="85"/>
      <c r="AA48" s="85"/>
      <c r="AB48" s="85">
        <f t="shared" si="6"/>
        <v>3000</v>
      </c>
    </row>
    <row r="49" spans="2:28" ht="15.75" customHeight="1" outlineLevel="1" x14ac:dyDescent="0.3">
      <c r="B49" s="84" t="s">
        <v>178</v>
      </c>
      <c r="C49" s="85">
        <v>0</v>
      </c>
      <c r="D49" s="85">
        <v>0</v>
      </c>
      <c r="E49" s="85">
        <v>0</v>
      </c>
      <c r="F49" s="85"/>
      <c r="G49" s="85"/>
      <c r="H49" s="85"/>
      <c r="I49" s="85"/>
      <c r="J49" s="85"/>
      <c r="K49" s="85"/>
      <c r="L49" s="85"/>
      <c r="M49" s="85"/>
      <c r="N49" s="85"/>
      <c r="O49" s="85">
        <v>0</v>
      </c>
      <c r="P49" s="85">
        <v>1000</v>
      </c>
      <c r="Q49" s="85">
        <v>1000</v>
      </c>
      <c r="R49" s="85">
        <v>1000</v>
      </c>
      <c r="S49" s="85">
        <v>1000</v>
      </c>
      <c r="T49" s="85">
        <v>1000</v>
      </c>
      <c r="U49" s="85">
        <v>1000</v>
      </c>
      <c r="V49" s="85">
        <v>1000</v>
      </c>
      <c r="W49" s="85">
        <v>1000</v>
      </c>
      <c r="X49" s="85">
        <v>1000</v>
      </c>
      <c r="Y49" s="85">
        <v>1000</v>
      </c>
      <c r="Z49" s="85">
        <v>1000</v>
      </c>
      <c r="AA49" s="85">
        <v>1000</v>
      </c>
      <c r="AB49" s="85">
        <f t="shared" si="6"/>
        <v>12000</v>
      </c>
    </row>
    <row r="50" spans="2:28" ht="15.75" customHeight="1" outlineLevel="1" x14ac:dyDescent="0.3">
      <c r="B50" s="84" t="s">
        <v>163</v>
      </c>
      <c r="C50" s="85">
        <v>2500</v>
      </c>
      <c r="D50" s="85">
        <v>23700</v>
      </c>
      <c r="E50" s="85">
        <v>0</v>
      </c>
      <c r="F50" s="85"/>
      <c r="G50" s="85">
        <v>-94</v>
      </c>
      <c r="H50" s="85">
        <v>161580</v>
      </c>
      <c r="I50" s="85">
        <v>40289.4</v>
      </c>
      <c r="J50" s="85">
        <v>2984</v>
      </c>
      <c r="K50" s="85">
        <v>1800</v>
      </c>
      <c r="L50" s="85">
        <v>2492.9</v>
      </c>
      <c r="M50" s="85">
        <v>43770</v>
      </c>
      <c r="N50" s="85"/>
      <c r="O50" s="85">
        <v>279022.3</v>
      </c>
      <c r="P50" s="85"/>
      <c r="Q50" s="85">
        <v>10000</v>
      </c>
      <c r="R50" s="85">
        <v>10000</v>
      </c>
      <c r="S50" s="85">
        <v>20000</v>
      </c>
      <c r="T50" s="85">
        <v>200000</v>
      </c>
      <c r="U50" s="85"/>
      <c r="V50" s="85"/>
      <c r="W50" s="85">
        <v>30000</v>
      </c>
      <c r="X50" s="85">
        <v>20000</v>
      </c>
      <c r="Y50" s="85">
        <v>10000</v>
      </c>
      <c r="Z50" s="85">
        <v>10000</v>
      </c>
      <c r="AA50" s="85">
        <v>10000</v>
      </c>
      <c r="AB50" s="85">
        <f t="shared" si="6"/>
        <v>320000</v>
      </c>
    </row>
    <row r="51" spans="2:28" ht="15.75" customHeight="1" outlineLevel="1" x14ac:dyDescent="0.3">
      <c r="B51" s="84" t="s">
        <v>164</v>
      </c>
      <c r="C51" s="85">
        <v>20625</v>
      </c>
      <c r="D51" s="85">
        <v>0</v>
      </c>
      <c r="E51" s="85">
        <v>8000</v>
      </c>
      <c r="F51" s="85"/>
      <c r="G51" s="85">
        <v>12615</v>
      </c>
      <c r="H51" s="85"/>
      <c r="I51" s="85"/>
      <c r="J51" s="85"/>
      <c r="K51" s="85"/>
      <c r="L51" s="85"/>
      <c r="M51" s="85"/>
      <c r="N51" s="85"/>
      <c r="O51" s="85">
        <v>41240</v>
      </c>
      <c r="P51" s="85">
        <v>25000</v>
      </c>
      <c r="Q51" s="85"/>
      <c r="R51" s="85"/>
      <c r="S51" s="85"/>
      <c r="T51" s="85"/>
      <c r="U51" s="85"/>
      <c r="V51" s="85"/>
      <c r="W51" s="85">
        <v>25000</v>
      </c>
      <c r="X51" s="85"/>
      <c r="Y51" s="85"/>
      <c r="Z51" s="85"/>
      <c r="AA51" s="85"/>
      <c r="AB51" s="85">
        <f t="shared" si="6"/>
        <v>50000</v>
      </c>
    </row>
    <row r="52" spans="2:28" ht="15.75" customHeight="1" outlineLevel="1" x14ac:dyDescent="0.3">
      <c r="B52" s="84" t="s">
        <v>197</v>
      </c>
      <c r="C52" s="85">
        <v>0</v>
      </c>
      <c r="D52" s="85">
        <v>0</v>
      </c>
      <c r="E52" s="85">
        <v>0</v>
      </c>
      <c r="F52" s="85"/>
      <c r="G52" s="85"/>
      <c r="H52" s="85"/>
      <c r="I52" s="85"/>
      <c r="J52" s="85"/>
      <c r="K52" s="85"/>
      <c r="L52" s="85"/>
      <c r="M52" s="85"/>
      <c r="N52" s="85"/>
      <c r="O52" s="85">
        <v>0</v>
      </c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>
        <f t="shared" si="6"/>
        <v>0</v>
      </c>
    </row>
    <row r="53" spans="2:28" ht="15.75" customHeight="1" outlineLevel="1" x14ac:dyDescent="0.3">
      <c r="B53" s="84" t="s">
        <v>55</v>
      </c>
      <c r="C53" s="85">
        <v>3583.7</v>
      </c>
      <c r="D53" s="85">
        <v>8987.6</v>
      </c>
      <c r="E53" s="85">
        <v>1919.6</v>
      </c>
      <c r="F53" s="85"/>
      <c r="G53" s="85">
        <v>7844</v>
      </c>
      <c r="H53" s="85">
        <v>10109.9</v>
      </c>
      <c r="I53" s="85">
        <v>1100</v>
      </c>
      <c r="J53" s="85">
        <v>4950</v>
      </c>
      <c r="K53" s="85">
        <v>200</v>
      </c>
      <c r="L53" s="85"/>
      <c r="M53" s="85">
        <v>400</v>
      </c>
      <c r="N53" s="85">
        <v>2582</v>
      </c>
      <c r="O53" s="85">
        <v>41676.800000000003</v>
      </c>
      <c r="P53" s="85">
        <v>4000</v>
      </c>
      <c r="Q53" s="85">
        <v>4000</v>
      </c>
      <c r="R53" s="85">
        <v>10000</v>
      </c>
      <c r="S53" s="85">
        <v>4000</v>
      </c>
      <c r="T53" s="85">
        <v>4000</v>
      </c>
      <c r="U53" s="85"/>
      <c r="V53" s="85"/>
      <c r="W53" s="85"/>
      <c r="X53" s="85">
        <v>4000</v>
      </c>
      <c r="Y53" s="85">
        <v>10000</v>
      </c>
      <c r="Z53" s="85">
        <v>4000</v>
      </c>
      <c r="AA53" s="85">
        <v>4000</v>
      </c>
      <c r="AB53" s="85">
        <f t="shared" si="6"/>
        <v>48000</v>
      </c>
    </row>
    <row r="54" spans="2:28" ht="15.75" customHeight="1" outlineLevel="1" x14ac:dyDescent="0.3">
      <c r="B54" s="84" t="s">
        <v>225</v>
      </c>
      <c r="C54" s="85">
        <v>0</v>
      </c>
      <c r="D54" s="85">
        <v>0</v>
      </c>
      <c r="E54" s="85">
        <v>0</v>
      </c>
      <c r="F54" s="85"/>
      <c r="G54" s="85"/>
      <c r="H54" s="85"/>
      <c r="I54" s="85"/>
      <c r="J54" s="85"/>
      <c r="K54" s="85"/>
      <c r="L54" s="85"/>
      <c r="M54" s="85"/>
      <c r="N54" s="85"/>
      <c r="O54" s="85">
        <v>0</v>
      </c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>
        <f t="shared" si="6"/>
        <v>0</v>
      </c>
    </row>
    <row r="55" spans="2:28" ht="15.75" customHeight="1" x14ac:dyDescent="0.3">
      <c r="B55" s="82" t="s">
        <v>11</v>
      </c>
      <c r="C55" s="83">
        <v>29915</v>
      </c>
      <c r="D55" s="83">
        <v>4550</v>
      </c>
      <c r="E55" s="83">
        <v>4532</v>
      </c>
      <c r="F55" s="83">
        <v>1600</v>
      </c>
      <c r="G55" s="83">
        <v>2710</v>
      </c>
      <c r="H55" s="83">
        <v>27320.2</v>
      </c>
      <c r="I55" s="83">
        <v>1050</v>
      </c>
      <c r="J55" s="83">
        <v>20519.189999999999</v>
      </c>
      <c r="K55" s="83">
        <v>60617.8</v>
      </c>
      <c r="L55" s="83">
        <v>1353</v>
      </c>
      <c r="M55" s="83">
        <v>20450</v>
      </c>
      <c r="N55" s="83">
        <v>13833.2</v>
      </c>
      <c r="O55" s="83">
        <v>188450.39</v>
      </c>
      <c r="P55" s="83">
        <f t="shared" ref="P55:AA55" si="8">SUM(P56:P62)</f>
        <v>13500</v>
      </c>
      <c r="Q55" s="83">
        <f t="shared" si="8"/>
        <v>13500</v>
      </c>
      <c r="R55" s="83">
        <f t="shared" si="8"/>
        <v>36361</v>
      </c>
      <c r="S55" s="83">
        <f t="shared" si="8"/>
        <v>13500</v>
      </c>
      <c r="T55" s="83">
        <f t="shared" si="8"/>
        <v>16500</v>
      </c>
      <c r="U55" s="83">
        <f t="shared" si="8"/>
        <v>36361</v>
      </c>
      <c r="V55" s="83">
        <f t="shared" si="8"/>
        <v>13500</v>
      </c>
      <c r="W55" s="83">
        <f t="shared" si="8"/>
        <v>13500</v>
      </c>
      <c r="X55" s="83">
        <f t="shared" si="8"/>
        <v>36361</v>
      </c>
      <c r="Y55" s="83">
        <f t="shared" si="8"/>
        <v>13500</v>
      </c>
      <c r="Z55" s="83">
        <f t="shared" si="8"/>
        <v>13500</v>
      </c>
      <c r="AA55" s="83">
        <f t="shared" si="8"/>
        <v>43361</v>
      </c>
      <c r="AB55" s="83">
        <f t="shared" si="6"/>
        <v>263444</v>
      </c>
    </row>
    <row r="56" spans="2:28" ht="15.75" customHeight="1" outlineLevel="1" x14ac:dyDescent="0.3">
      <c r="B56" s="84" t="s">
        <v>66</v>
      </c>
      <c r="C56" s="85">
        <v>15000</v>
      </c>
      <c r="D56" s="85">
        <v>0</v>
      </c>
      <c r="E56" s="85">
        <v>0</v>
      </c>
      <c r="F56" s="85"/>
      <c r="G56" s="85">
        <v>910</v>
      </c>
      <c r="H56" s="85"/>
      <c r="I56" s="85"/>
      <c r="J56" s="85">
        <v>1150</v>
      </c>
      <c r="K56" s="85">
        <v>32800</v>
      </c>
      <c r="L56" s="85"/>
      <c r="M56" s="85">
        <v>12500</v>
      </c>
      <c r="N56" s="85"/>
      <c r="O56" s="85">
        <v>62360</v>
      </c>
      <c r="P56" s="85">
        <v>6000</v>
      </c>
      <c r="Q56" s="85">
        <v>6000</v>
      </c>
      <c r="R56" s="85">
        <v>6000</v>
      </c>
      <c r="S56" s="85">
        <v>6000</v>
      </c>
      <c r="T56" s="85">
        <v>6000</v>
      </c>
      <c r="U56" s="85">
        <v>6000</v>
      </c>
      <c r="V56" s="85">
        <v>6000</v>
      </c>
      <c r="W56" s="85">
        <v>6000</v>
      </c>
      <c r="X56" s="85">
        <v>6000</v>
      </c>
      <c r="Y56" s="85">
        <v>6000</v>
      </c>
      <c r="Z56" s="85">
        <v>6000</v>
      </c>
      <c r="AA56" s="85">
        <v>6000</v>
      </c>
      <c r="AB56" s="85">
        <f t="shared" si="6"/>
        <v>72000</v>
      </c>
    </row>
    <row r="57" spans="2:28" ht="15.75" customHeight="1" outlineLevel="1" x14ac:dyDescent="0.3">
      <c r="B57" s="84" t="s">
        <v>226</v>
      </c>
      <c r="C57" s="85">
        <v>1315</v>
      </c>
      <c r="D57" s="85">
        <v>1170</v>
      </c>
      <c r="E57" s="85">
        <v>1170</v>
      </c>
      <c r="F57" s="85"/>
      <c r="G57" s="85"/>
      <c r="H57" s="85"/>
      <c r="I57" s="85"/>
      <c r="J57" s="85"/>
      <c r="K57" s="85"/>
      <c r="L57" s="85"/>
      <c r="M57" s="85"/>
      <c r="N57" s="85"/>
      <c r="O57" s="85">
        <v>3655</v>
      </c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>
        <v>4000</v>
      </c>
      <c r="AB57" s="85">
        <f t="shared" si="6"/>
        <v>4000</v>
      </c>
    </row>
    <row r="58" spans="2:28" ht="15.75" customHeight="1" outlineLevel="1" x14ac:dyDescent="0.3">
      <c r="B58" s="84" t="s">
        <v>165</v>
      </c>
      <c r="C58" s="85">
        <v>0</v>
      </c>
      <c r="D58" s="85">
        <v>0</v>
      </c>
      <c r="E58" s="85">
        <v>0</v>
      </c>
      <c r="F58" s="85"/>
      <c r="G58" s="85"/>
      <c r="H58" s="85">
        <v>13612</v>
      </c>
      <c r="I58" s="85"/>
      <c r="J58" s="85"/>
      <c r="K58" s="85">
        <v>13612</v>
      </c>
      <c r="L58" s="85"/>
      <c r="M58" s="85"/>
      <c r="N58" s="85">
        <v>13612</v>
      </c>
      <c r="O58" s="85">
        <v>40836</v>
      </c>
      <c r="P58" s="85"/>
      <c r="Q58" s="85"/>
      <c r="R58" s="85">
        <v>22861</v>
      </c>
      <c r="S58" s="85"/>
      <c r="T58" s="85"/>
      <c r="U58" s="85">
        <v>22861</v>
      </c>
      <c r="V58" s="85"/>
      <c r="W58" s="85"/>
      <c r="X58" s="85">
        <v>22861</v>
      </c>
      <c r="Y58" s="85"/>
      <c r="Z58" s="85"/>
      <c r="AA58" s="85">
        <v>22861</v>
      </c>
      <c r="AB58" s="85">
        <f t="shared" si="6"/>
        <v>91444</v>
      </c>
    </row>
    <row r="59" spans="2:28" ht="15.75" customHeight="1" outlineLevel="1" x14ac:dyDescent="0.3">
      <c r="B59" s="84" t="s">
        <v>180</v>
      </c>
      <c r="C59" s="85">
        <v>13600</v>
      </c>
      <c r="D59" s="85">
        <v>3380</v>
      </c>
      <c r="E59" s="85">
        <v>0</v>
      </c>
      <c r="F59" s="85">
        <v>1600</v>
      </c>
      <c r="G59" s="85">
        <v>1800</v>
      </c>
      <c r="H59" s="85">
        <v>13450</v>
      </c>
      <c r="I59" s="85">
        <v>1050</v>
      </c>
      <c r="J59" s="85"/>
      <c r="K59" s="85"/>
      <c r="L59" s="85">
        <v>450</v>
      </c>
      <c r="M59" s="85">
        <v>7950</v>
      </c>
      <c r="N59" s="85"/>
      <c r="O59" s="85">
        <v>43280</v>
      </c>
      <c r="P59" s="85">
        <v>3500</v>
      </c>
      <c r="Q59" s="85">
        <v>3500</v>
      </c>
      <c r="R59" s="85">
        <v>3500</v>
      </c>
      <c r="S59" s="85">
        <v>3500</v>
      </c>
      <c r="T59" s="85">
        <v>3500</v>
      </c>
      <c r="U59" s="85">
        <v>3500</v>
      </c>
      <c r="V59" s="85">
        <v>3500</v>
      </c>
      <c r="W59" s="85">
        <v>3500</v>
      </c>
      <c r="X59" s="85">
        <v>3500</v>
      </c>
      <c r="Y59" s="85">
        <v>3500</v>
      </c>
      <c r="Z59" s="85">
        <v>3500</v>
      </c>
      <c r="AA59" s="85">
        <v>3500</v>
      </c>
      <c r="AB59" s="85">
        <f t="shared" si="6"/>
        <v>42000</v>
      </c>
    </row>
    <row r="60" spans="2:28" ht="15.75" customHeight="1" outlineLevel="1" x14ac:dyDescent="0.3">
      <c r="B60" s="84" t="s">
        <v>200</v>
      </c>
      <c r="C60" s="85">
        <v>0</v>
      </c>
      <c r="D60" s="85">
        <v>0</v>
      </c>
      <c r="E60" s="85">
        <v>0</v>
      </c>
      <c r="F60" s="85"/>
      <c r="G60" s="85"/>
      <c r="H60" s="85"/>
      <c r="I60" s="85"/>
      <c r="J60" s="85"/>
      <c r="K60" s="85"/>
      <c r="L60" s="85"/>
      <c r="M60" s="85"/>
      <c r="N60" s="85"/>
      <c r="O60" s="85">
        <v>0</v>
      </c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>
        <f t="shared" si="6"/>
        <v>0</v>
      </c>
    </row>
    <row r="61" spans="2:28" ht="15.75" customHeight="1" outlineLevel="1" x14ac:dyDescent="0.3">
      <c r="B61" s="84" t="s">
        <v>170</v>
      </c>
      <c r="C61" s="85">
        <v>0</v>
      </c>
      <c r="D61" s="85">
        <v>0</v>
      </c>
      <c r="E61" s="85">
        <v>2000</v>
      </c>
      <c r="F61" s="85"/>
      <c r="G61" s="85"/>
      <c r="H61" s="85"/>
      <c r="I61" s="85"/>
      <c r="J61" s="85"/>
      <c r="K61" s="85"/>
      <c r="L61" s="85"/>
      <c r="M61" s="85"/>
      <c r="N61" s="85"/>
      <c r="O61" s="85">
        <v>2000</v>
      </c>
      <c r="P61" s="85">
        <v>1000</v>
      </c>
      <c r="Q61" s="85">
        <v>1000</v>
      </c>
      <c r="R61" s="85">
        <v>1000</v>
      </c>
      <c r="S61" s="85">
        <v>1000</v>
      </c>
      <c r="T61" s="85">
        <v>1000</v>
      </c>
      <c r="U61" s="85">
        <v>1000</v>
      </c>
      <c r="V61" s="85">
        <v>1000</v>
      </c>
      <c r="W61" s="85">
        <v>1000</v>
      </c>
      <c r="X61" s="85">
        <v>1000</v>
      </c>
      <c r="Y61" s="85">
        <v>1000</v>
      </c>
      <c r="Z61" s="85">
        <v>1000</v>
      </c>
      <c r="AA61" s="85">
        <v>1000</v>
      </c>
      <c r="AB61" s="85">
        <f t="shared" si="6"/>
        <v>12000</v>
      </c>
    </row>
    <row r="62" spans="2:28" ht="15.75" customHeight="1" outlineLevel="1" x14ac:dyDescent="0.3">
      <c r="B62" s="84" t="s">
        <v>71</v>
      </c>
      <c r="C62" s="85">
        <v>0</v>
      </c>
      <c r="D62" s="85">
        <v>0</v>
      </c>
      <c r="E62" s="85">
        <v>1362</v>
      </c>
      <c r="F62" s="85"/>
      <c r="G62" s="85"/>
      <c r="H62" s="85">
        <v>258.2</v>
      </c>
      <c r="I62" s="85"/>
      <c r="J62" s="85">
        <v>19369.189999999999</v>
      </c>
      <c r="K62" s="85">
        <v>14205.8</v>
      </c>
      <c r="L62" s="85">
        <v>903</v>
      </c>
      <c r="M62" s="85"/>
      <c r="N62" s="85">
        <v>221.2</v>
      </c>
      <c r="O62" s="85">
        <v>36319.39</v>
      </c>
      <c r="P62" s="85">
        <v>3000</v>
      </c>
      <c r="Q62" s="85">
        <v>3000</v>
      </c>
      <c r="R62" s="85">
        <v>3000</v>
      </c>
      <c r="S62" s="85">
        <v>3000</v>
      </c>
      <c r="T62" s="85">
        <v>6000</v>
      </c>
      <c r="U62" s="85">
        <v>3000</v>
      </c>
      <c r="V62" s="85">
        <v>3000</v>
      </c>
      <c r="W62" s="85">
        <v>3000</v>
      </c>
      <c r="X62" s="85">
        <v>3000</v>
      </c>
      <c r="Y62" s="85">
        <v>3000</v>
      </c>
      <c r="Z62" s="85">
        <v>3000</v>
      </c>
      <c r="AA62" s="85">
        <v>6000</v>
      </c>
      <c r="AB62" s="85">
        <f t="shared" si="6"/>
        <v>42000</v>
      </c>
    </row>
    <row r="63" spans="2:28" ht="15.75" customHeight="1" x14ac:dyDescent="0.3">
      <c r="B63" s="82" t="s">
        <v>12</v>
      </c>
      <c r="C63" s="83">
        <v>10000</v>
      </c>
      <c r="D63" s="83">
        <v>10000</v>
      </c>
      <c r="E63" s="83">
        <v>10000</v>
      </c>
      <c r="F63" s="83">
        <v>10438</v>
      </c>
      <c r="G63" s="83">
        <v>10000</v>
      </c>
      <c r="H63" s="83">
        <v>10230</v>
      </c>
      <c r="I63" s="83">
        <v>20000</v>
      </c>
      <c r="J63" s="83">
        <v>10000</v>
      </c>
      <c r="K63" s="83">
        <v>10000</v>
      </c>
      <c r="L63" s="83">
        <v>22890</v>
      </c>
      <c r="M63" s="83">
        <v>10000</v>
      </c>
      <c r="N63" s="83">
        <v>10000</v>
      </c>
      <c r="O63" s="83">
        <v>143558</v>
      </c>
      <c r="P63" s="83">
        <f t="shared" ref="P63:AA63" si="9">SUM(P64:P68)</f>
        <v>12000</v>
      </c>
      <c r="Q63" s="83">
        <f t="shared" si="9"/>
        <v>12000</v>
      </c>
      <c r="R63" s="83">
        <f t="shared" si="9"/>
        <v>12000</v>
      </c>
      <c r="S63" s="83">
        <f t="shared" si="9"/>
        <v>12000</v>
      </c>
      <c r="T63" s="83">
        <f t="shared" si="9"/>
        <v>12000</v>
      </c>
      <c r="U63" s="83">
        <f t="shared" si="9"/>
        <v>12000</v>
      </c>
      <c r="V63" s="83">
        <f t="shared" si="9"/>
        <v>12000</v>
      </c>
      <c r="W63" s="83">
        <f t="shared" si="9"/>
        <v>12000</v>
      </c>
      <c r="X63" s="83">
        <f t="shared" si="9"/>
        <v>12000</v>
      </c>
      <c r="Y63" s="83">
        <f t="shared" si="9"/>
        <v>12000</v>
      </c>
      <c r="Z63" s="83">
        <f t="shared" si="9"/>
        <v>12000</v>
      </c>
      <c r="AA63" s="83">
        <f t="shared" si="9"/>
        <v>12000</v>
      </c>
      <c r="AB63" s="83">
        <f t="shared" si="6"/>
        <v>144000</v>
      </c>
    </row>
    <row r="64" spans="2:28" ht="15.75" customHeight="1" outlineLevel="1" x14ac:dyDescent="0.3">
      <c r="B64" s="84" t="s">
        <v>76</v>
      </c>
      <c r="C64" s="85">
        <v>10000</v>
      </c>
      <c r="D64" s="85">
        <v>10000</v>
      </c>
      <c r="E64" s="85">
        <v>10000</v>
      </c>
      <c r="F64" s="85">
        <v>10000</v>
      </c>
      <c r="G64" s="85">
        <v>10000</v>
      </c>
      <c r="H64" s="85">
        <v>10000</v>
      </c>
      <c r="I64" s="85">
        <v>10000</v>
      </c>
      <c r="J64" s="85">
        <v>10000</v>
      </c>
      <c r="K64" s="85">
        <v>10000</v>
      </c>
      <c r="L64" s="85">
        <v>10000</v>
      </c>
      <c r="M64" s="85">
        <v>10000</v>
      </c>
      <c r="N64" s="85">
        <v>10000</v>
      </c>
      <c r="O64" s="85">
        <v>120000</v>
      </c>
      <c r="P64" s="85">
        <v>10000</v>
      </c>
      <c r="Q64" s="85">
        <v>10000</v>
      </c>
      <c r="R64" s="85">
        <v>10000</v>
      </c>
      <c r="S64" s="85">
        <v>10000</v>
      </c>
      <c r="T64" s="85">
        <v>10000</v>
      </c>
      <c r="U64" s="85">
        <v>10000</v>
      </c>
      <c r="V64" s="85">
        <v>10000</v>
      </c>
      <c r="W64" s="85">
        <v>10000</v>
      </c>
      <c r="X64" s="85">
        <v>10000</v>
      </c>
      <c r="Y64" s="85">
        <v>10000</v>
      </c>
      <c r="Z64" s="85">
        <v>10000</v>
      </c>
      <c r="AA64" s="85">
        <v>10000</v>
      </c>
      <c r="AB64" s="85">
        <f t="shared" si="6"/>
        <v>120000</v>
      </c>
    </row>
    <row r="65" spans="2:28" ht="15.75" customHeight="1" outlineLevel="1" x14ac:dyDescent="0.3">
      <c r="B65" s="84" t="s">
        <v>90</v>
      </c>
      <c r="C65" s="85">
        <v>0</v>
      </c>
      <c r="D65" s="85">
        <v>0</v>
      </c>
      <c r="E65" s="85">
        <v>0</v>
      </c>
      <c r="F65" s="85"/>
      <c r="G65" s="85"/>
      <c r="H65" s="85"/>
      <c r="I65" s="85"/>
      <c r="J65" s="85"/>
      <c r="K65" s="85"/>
      <c r="L65" s="85"/>
      <c r="M65" s="85"/>
      <c r="N65" s="85"/>
      <c r="O65" s="85">
        <v>0</v>
      </c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>
        <f t="shared" si="6"/>
        <v>0</v>
      </c>
    </row>
    <row r="66" spans="2:28" ht="15.75" customHeight="1" outlineLevel="1" x14ac:dyDescent="0.3">
      <c r="B66" s="84" t="s">
        <v>111</v>
      </c>
      <c r="C66" s="85">
        <v>0</v>
      </c>
      <c r="D66" s="85">
        <v>0</v>
      </c>
      <c r="E66" s="85">
        <v>0</v>
      </c>
      <c r="F66" s="85">
        <v>438</v>
      </c>
      <c r="G66" s="85"/>
      <c r="H66" s="85"/>
      <c r="I66" s="85"/>
      <c r="J66" s="85"/>
      <c r="K66" s="85"/>
      <c r="L66" s="85"/>
      <c r="M66" s="85"/>
      <c r="N66" s="85"/>
      <c r="O66" s="85">
        <v>438</v>
      </c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>
        <f t="shared" si="6"/>
        <v>0</v>
      </c>
    </row>
    <row r="67" spans="2:28" ht="15.75" customHeight="1" outlineLevel="1" x14ac:dyDescent="0.3">
      <c r="B67" s="84" t="s">
        <v>113</v>
      </c>
      <c r="C67" s="85">
        <v>0</v>
      </c>
      <c r="D67" s="85">
        <v>0</v>
      </c>
      <c r="E67" s="85">
        <v>0</v>
      </c>
      <c r="F67" s="85"/>
      <c r="G67" s="85"/>
      <c r="H67" s="85"/>
      <c r="I67" s="85"/>
      <c r="J67" s="85"/>
      <c r="K67" s="85"/>
      <c r="L67" s="85">
        <v>12890</v>
      </c>
      <c r="M67" s="85"/>
      <c r="N67" s="85"/>
      <c r="O67" s="85">
        <v>12890</v>
      </c>
      <c r="P67" s="85">
        <v>1000</v>
      </c>
      <c r="Q67" s="85">
        <v>1000</v>
      </c>
      <c r="R67" s="85">
        <v>1000</v>
      </c>
      <c r="S67" s="85">
        <v>1000</v>
      </c>
      <c r="T67" s="85">
        <v>1000</v>
      </c>
      <c r="U67" s="85">
        <v>1000</v>
      </c>
      <c r="V67" s="85">
        <v>1000</v>
      </c>
      <c r="W67" s="85">
        <v>1000</v>
      </c>
      <c r="X67" s="85">
        <v>1000</v>
      </c>
      <c r="Y67" s="85">
        <v>1000</v>
      </c>
      <c r="Z67" s="85">
        <v>1000</v>
      </c>
      <c r="AA67" s="85">
        <v>1000</v>
      </c>
      <c r="AB67" s="85">
        <f t="shared" si="6"/>
        <v>12000</v>
      </c>
    </row>
    <row r="68" spans="2:28" ht="15.75" customHeight="1" outlineLevel="1" x14ac:dyDescent="0.3">
      <c r="B68" s="84" t="s">
        <v>114</v>
      </c>
      <c r="C68" s="85">
        <v>0</v>
      </c>
      <c r="D68" s="85">
        <v>0</v>
      </c>
      <c r="E68" s="85">
        <v>0</v>
      </c>
      <c r="F68" s="85"/>
      <c r="G68" s="85"/>
      <c r="H68" s="85">
        <v>230</v>
      </c>
      <c r="I68" s="85">
        <v>10000</v>
      </c>
      <c r="J68" s="85"/>
      <c r="K68" s="85"/>
      <c r="L68" s="85"/>
      <c r="M68" s="85"/>
      <c r="N68" s="85"/>
      <c r="O68" s="85">
        <v>10230</v>
      </c>
      <c r="P68" s="85">
        <v>1000</v>
      </c>
      <c r="Q68" s="85">
        <v>1000</v>
      </c>
      <c r="R68" s="85">
        <v>1000</v>
      </c>
      <c r="S68" s="85">
        <v>1000</v>
      </c>
      <c r="T68" s="85">
        <v>1000</v>
      </c>
      <c r="U68" s="85">
        <v>1000</v>
      </c>
      <c r="V68" s="85">
        <v>1000</v>
      </c>
      <c r="W68" s="85">
        <v>1000</v>
      </c>
      <c r="X68" s="85">
        <v>1000</v>
      </c>
      <c r="Y68" s="85">
        <v>1000</v>
      </c>
      <c r="Z68" s="85">
        <v>1000</v>
      </c>
      <c r="AA68" s="85">
        <v>1000</v>
      </c>
      <c r="AB68" s="85">
        <f t="shared" si="6"/>
        <v>12000</v>
      </c>
    </row>
    <row r="69" spans="2:28" ht="15.75" customHeight="1" x14ac:dyDescent="0.3">
      <c r="B69" s="82" t="s">
        <v>13</v>
      </c>
      <c r="C69" s="83">
        <v>0</v>
      </c>
      <c r="D69" s="83">
        <v>0</v>
      </c>
      <c r="E69" s="83">
        <v>0</v>
      </c>
      <c r="F69" s="83">
        <v>0</v>
      </c>
      <c r="G69" s="83">
        <v>0</v>
      </c>
      <c r="H69" s="83">
        <v>3450</v>
      </c>
      <c r="I69" s="83">
        <v>0</v>
      </c>
      <c r="J69" s="83">
        <v>0</v>
      </c>
      <c r="K69" s="83">
        <v>2584.8000000000002</v>
      </c>
      <c r="L69" s="83">
        <v>0</v>
      </c>
      <c r="M69" s="83">
        <v>0</v>
      </c>
      <c r="N69" s="83">
        <v>0</v>
      </c>
      <c r="O69" s="83">
        <v>6034.8</v>
      </c>
      <c r="P69" s="83">
        <f t="shared" ref="P69:AA69" si="10">SUM(P70:P71)</f>
        <v>2000</v>
      </c>
      <c r="Q69" s="83">
        <f t="shared" si="10"/>
        <v>2000</v>
      </c>
      <c r="R69" s="83">
        <f t="shared" si="10"/>
        <v>2000</v>
      </c>
      <c r="S69" s="83">
        <f t="shared" si="10"/>
        <v>2000</v>
      </c>
      <c r="T69" s="83">
        <f t="shared" si="10"/>
        <v>2000</v>
      </c>
      <c r="U69" s="83">
        <f t="shared" si="10"/>
        <v>2000</v>
      </c>
      <c r="V69" s="83">
        <f t="shared" si="10"/>
        <v>2000</v>
      </c>
      <c r="W69" s="83">
        <f t="shared" si="10"/>
        <v>2000</v>
      </c>
      <c r="X69" s="83">
        <f t="shared" si="10"/>
        <v>2000</v>
      </c>
      <c r="Y69" s="83">
        <f t="shared" si="10"/>
        <v>2000</v>
      </c>
      <c r="Z69" s="83">
        <f t="shared" si="10"/>
        <v>2000</v>
      </c>
      <c r="AA69" s="83">
        <f t="shared" si="10"/>
        <v>2000</v>
      </c>
      <c r="AB69" s="83">
        <f t="shared" si="6"/>
        <v>24000</v>
      </c>
    </row>
    <row r="70" spans="2:28" ht="15.75" customHeight="1" outlineLevel="1" x14ac:dyDescent="0.3">
      <c r="B70" s="84" t="s">
        <v>123</v>
      </c>
      <c r="C70" s="85">
        <v>0</v>
      </c>
      <c r="D70" s="85">
        <v>0</v>
      </c>
      <c r="E70" s="85">
        <v>0</v>
      </c>
      <c r="F70" s="85"/>
      <c r="G70" s="85"/>
      <c r="H70" s="85"/>
      <c r="I70" s="85"/>
      <c r="J70" s="85"/>
      <c r="K70" s="85">
        <v>2584.8000000000002</v>
      </c>
      <c r="L70" s="85"/>
      <c r="M70" s="85"/>
      <c r="N70" s="85"/>
      <c r="O70" s="85">
        <v>2584.8000000000002</v>
      </c>
      <c r="P70" s="85">
        <v>1000</v>
      </c>
      <c r="Q70" s="85">
        <v>1000</v>
      </c>
      <c r="R70" s="85">
        <v>1000</v>
      </c>
      <c r="S70" s="85">
        <v>1000</v>
      </c>
      <c r="T70" s="85">
        <v>1000</v>
      </c>
      <c r="U70" s="85">
        <v>1000</v>
      </c>
      <c r="V70" s="85">
        <v>1000</v>
      </c>
      <c r="W70" s="85">
        <v>1000</v>
      </c>
      <c r="X70" s="85">
        <v>1000</v>
      </c>
      <c r="Y70" s="85">
        <v>1000</v>
      </c>
      <c r="Z70" s="85">
        <v>1000</v>
      </c>
      <c r="AA70" s="85">
        <v>1000</v>
      </c>
      <c r="AB70" s="85">
        <f t="shared" si="6"/>
        <v>12000</v>
      </c>
    </row>
    <row r="71" spans="2:28" ht="15.75" customHeight="1" outlineLevel="1" x14ac:dyDescent="0.3">
      <c r="B71" s="84" t="s">
        <v>227</v>
      </c>
      <c r="C71" s="85">
        <v>0</v>
      </c>
      <c r="D71" s="85">
        <v>0</v>
      </c>
      <c r="E71" s="85">
        <v>0</v>
      </c>
      <c r="F71" s="85"/>
      <c r="G71" s="85"/>
      <c r="H71" s="85">
        <v>3450</v>
      </c>
      <c r="I71" s="85"/>
      <c r="J71" s="85"/>
      <c r="K71" s="85"/>
      <c r="L71" s="85"/>
      <c r="M71" s="85"/>
      <c r="N71" s="85"/>
      <c r="O71" s="85">
        <v>3450</v>
      </c>
      <c r="P71" s="85">
        <v>1000</v>
      </c>
      <c r="Q71" s="85">
        <v>1000</v>
      </c>
      <c r="R71" s="85">
        <v>1000</v>
      </c>
      <c r="S71" s="85">
        <v>1000</v>
      </c>
      <c r="T71" s="85">
        <v>1000</v>
      </c>
      <c r="U71" s="85">
        <v>1000</v>
      </c>
      <c r="V71" s="85">
        <v>1000</v>
      </c>
      <c r="W71" s="85">
        <v>1000</v>
      </c>
      <c r="X71" s="85">
        <v>1000</v>
      </c>
      <c r="Y71" s="85">
        <v>1000</v>
      </c>
      <c r="Z71" s="85">
        <v>1000</v>
      </c>
      <c r="AA71" s="85">
        <v>1000</v>
      </c>
      <c r="AB71" s="85">
        <f t="shared" si="6"/>
        <v>12000</v>
      </c>
    </row>
    <row r="72" spans="2:28" ht="15.75" customHeight="1" x14ac:dyDescent="0.3">
      <c r="B72" s="82" t="s">
        <v>14</v>
      </c>
      <c r="C72" s="83">
        <v>0</v>
      </c>
      <c r="D72" s="83">
        <v>0</v>
      </c>
      <c r="E72" s="83">
        <v>0</v>
      </c>
      <c r="F72" s="83">
        <v>0</v>
      </c>
      <c r="G72" s="83">
        <v>0</v>
      </c>
      <c r="H72" s="83">
        <v>0</v>
      </c>
      <c r="I72" s="83">
        <v>0</v>
      </c>
      <c r="J72" s="83">
        <v>0</v>
      </c>
      <c r="K72" s="83">
        <v>0</v>
      </c>
      <c r="L72" s="83">
        <v>0</v>
      </c>
      <c r="M72" s="83">
        <v>0</v>
      </c>
      <c r="N72" s="83">
        <v>0</v>
      </c>
      <c r="O72" s="83">
        <v>0</v>
      </c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>
        <f t="shared" si="6"/>
        <v>0</v>
      </c>
    </row>
    <row r="73" spans="2:28" ht="15.75" customHeight="1" x14ac:dyDescent="0.3">
      <c r="B73" s="82" t="s">
        <v>15</v>
      </c>
      <c r="C73" s="83">
        <v>0</v>
      </c>
      <c r="D73" s="83">
        <v>0</v>
      </c>
      <c r="E73" s="83">
        <v>0</v>
      </c>
      <c r="F73" s="83">
        <v>0</v>
      </c>
      <c r="G73" s="83">
        <v>0</v>
      </c>
      <c r="H73" s="83">
        <v>0</v>
      </c>
      <c r="I73" s="83">
        <v>0</v>
      </c>
      <c r="J73" s="83">
        <v>0</v>
      </c>
      <c r="K73" s="83">
        <v>0</v>
      </c>
      <c r="L73" s="83">
        <v>0</v>
      </c>
      <c r="M73" s="83">
        <v>0</v>
      </c>
      <c r="N73" s="83">
        <v>0</v>
      </c>
      <c r="O73" s="83">
        <v>0</v>
      </c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>
        <f t="shared" si="6"/>
        <v>0</v>
      </c>
    </row>
    <row r="74" spans="2:28" ht="15.75" customHeight="1" x14ac:dyDescent="0.3">
      <c r="B74" s="82" t="s">
        <v>16</v>
      </c>
      <c r="C74" s="83">
        <v>0</v>
      </c>
      <c r="D74" s="83">
        <v>0</v>
      </c>
      <c r="E74" s="83">
        <v>0</v>
      </c>
      <c r="F74" s="83">
        <v>0</v>
      </c>
      <c r="G74" s="83">
        <v>0</v>
      </c>
      <c r="H74" s="83">
        <v>0</v>
      </c>
      <c r="I74" s="83">
        <v>0</v>
      </c>
      <c r="J74" s="83">
        <v>0</v>
      </c>
      <c r="K74" s="83">
        <v>0</v>
      </c>
      <c r="L74" s="83">
        <v>0</v>
      </c>
      <c r="M74" s="83">
        <v>0</v>
      </c>
      <c r="N74" s="83">
        <v>0</v>
      </c>
      <c r="O74" s="83">
        <v>0</v>
      </c>
      <c r="P74" s="83">
        <f t="shared" ref="P74:AA74" si="11">SUM(P75)</f>
        <v>0</v>
      </c>
      <c r="Q74" s="83">
        <f t="shared" si="11"/>
        <v>0</v>
      </c>
      <c r="R74" s="83">
        <f t="shared" si="11"/>
        <v>0</v>
      </c>
      <c r="S74" s="83">
        <f t="shared" si="11"/>
        <v>0</v>
      </c>
      <c r="T74" s="83">
        <f t="shared" si="11"/>
        <v>0</v>
      </c>
      <c r="U74" s="83">
        <f t="shared" si="11"/>
        <v>0</v>
      </c>
      <c r="V74" s="83">
        <f t="shared" si="11"/>
        <v>0</v>
      </c>
      <c r="W74" s="83">
        <f t="shared" si="11"/>
        <v>0</v>
      </c>
      <c r="X74" s="83">
        <f t="shared" si="11"/>
        <v>0</v>
      </c>
      <c r="Y74" s="83">
        <f t="shared" si="11"/>
        <v>0</v>
      </c>
      <c r="Z74" s="83">
        <f t="shared" si="11"/>
        <v>0</v>
      </c>
      <c r="AA74" s="83">
        <f t="shared" si="11"/>
        <v>0</v>
      </c>
      <c r="AB74" s="83">
        <f t="shared" si="6"/>
        <v>0</v>
      </c>
    </row>
    <row r="75" spans="2:28" ht="15.75" customHeight="1" outlineLevel="1" x14ac:dyDescent="0.3">
      <c r="B75" s="84" t="s">
        <v>127</v>
      </c>
      <c r="C75" s="85">
        <v>0</v>
      </c>
      <c r="D75" s="85">
        <v>0</v>
      </c>
      <c r="E75" s="85">
        <v>0</v>
      </c>
      <c r="F75" s="85"/>
      <c r="G75" s="85"/>
      <c r="H75" s="85"/>
      <c r="I75" s="85"/>
      <c r="J75" s="85"/>
      <c r="K75" s="85"/>
      <c r="L75" s="85"/>
      <c r="M75" s="85"/>
      <c r="N75" s="85"/>
      <c r="O75" s="85">
        <v>0</v>
      </c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>
        <f t="shared" si="6"/>
        <v>0</v>
      </c>
    </row>
    <row r="76" spans="2:28" ht="15.75" customHeight="1" x14ac:dyDescent="0.3">
      <c r="B76" s="82" t="s">
        <v>5</v>
      </c>
      <c r="C76" s="83">
        <v>0</v>
      </c>
      <c r="D76" s="83">
        <v>0</v>
      </c>
      <c r="E76" s="83">
        <v>0</v>
      </c>
      <c r="F76" s="83">
        <v>0</v>
      </c>
      <c r="G76" s="83">
        <v>0</v>
      </c>
      <c r="H76" s="83">
        <v>0</v>
      </c>
      <c r="I76" s="83">
        <v>0</v>
      </c>
      <c r="J76" s="83">
        <v>0</v>
      </c>
      <c r="K76" s="83">
        <v>0</v>
      </c>
      <c r="L76" s="83">
        <v>0</v>
      </c>
      <c r="M76" s="83">
        <v>0</v>
      </c>
      <c r="N76" s="83">
        <v>0</v>
      </c>
      <c r="O76" s="83">
        <v>0</v>
      </c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>
        <f t="shared" si="6"/>
        <v>0</v>
      </c>
    </row>
    <row r="77" spans="2:28" ht="15.75" customHeight="1" x14ac:dyDescent="0.3">
      <c r="B77" s="82" t="s">
        <v>17</v>
      </c>
      <c r="C77" s="83">
        <v>239.05</v>
      </c>
      <c r="D77" s="83">
        <v>1672.2</v>
      </c>
      <c r="E77" s="83">
        <v>7964.9</v>
      </c>
      <c r="F77" s="83">
        <v>6166.34</v>
      </c>
      <c r="G77" s="83">
        <v>3151.5</v>
      </c>
      <c r="H77" s="83">
        <v>235.71</v>
      </c>
      <c r="I77" s="83">
        <v>58.21</v>
      </c>
      <c r="J77" s="83">
        <v>3739.1</v>
      </c>
      <c r="K77" s="83">
        <v>0</v>
      </c>
      <c r="L77" s="83">
        <v>0</v>
      </c>
      <c r="M77" s="83">
        <v>-750</v>
      </c>
      <c r="N77" s="83">
        <v>107.28</v>
      </c>
      <c r="O77" s="83">
        <v>22584.289999999994</v>
      </c>
      <c r="P77" s="83">
        <f t="shared" ref="P77:AA77" si="12">SUM(P78:P83)</f>
        <v>0</v>
      </c>
      <c r="Q77" s="83">
        <f t="shared" si="12"/>
        <v>0</v>
      </c>
      <c r="R77" s="83">
        <f t="shared" si="12"/>
        <v>0</v>
      </c>
      <c r="S77" s="83">
        <f t="shared" si="12"/>
        <v>0</v>
      </c>
      <c r="T77" s="83">
        <f t="shared" si="12"/>
        <v>0</v>
      </c>
      <c r="U77" s="83">
        <f t="shared" si="12"/>
        <v>0</v>
      </c>
      <c r="V77" s="83">
        <f t="shared" si="12"/>
        <v>0</v>
      </c>
      <c r="W77" s="83">
        <f t="shared" si="12"/>
        <v>0</v>
      </c>
      <c r="X77" s="83">
        <f t="shared" si="12"/>
        <v>0</v>
      </c>
      <c r="Y77" s="83">
        <f t="shared" si="12"/>
        <v>0</v>
      </c>
      <c r="Z77" s="83">
        <f t="shared" si="12"/>
        <v>0</v>
      </c>
      <c r="AA77" s="83">
        <f t="shared" si="12"/>
        <v>0</v>
      </c>
      <c r="AB77" s="83">
        <f t="shared" si="6"/>
        <v>0</v>
      </c>
    </row>
    <row r="78" spans="2:28" ht="15.75" hidden="1" customHeight="1" outlineLevel="1" x14ac:dyDescent="0.3">
      <c r="B78" s="84" t="s">
        <v>132</v>
      </c>
      <c r="C78" s="85">
        <v>0</v>
      </c>
      <c r="D78" s="85">
        <v>0</v>
      </c>
      <c r="E78" s="85">
        <v>0</v>
      </c>
      <c r="F78" s="85"/>
      <c r="G78" s="85"/>
      <c r="H78" s="85"/>
      <c r="I78" s="85"/>
      <c r="J78" s="85"/>
      <c r="K78" s="85"/>
      <c r="L78" s="85"/>
      <c r="M78" s="85"/>
      <c r="N78" s="85"/>
      <c r="O78" s="85">
        <v>0</v>
      </c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>
        <f t="shared" si="6"/>
        <v>0</v>
      </c>
    </row>
    <row r="79" spans="2:28" ht="15.75" hidden="1" customHeight="1" outlineLevel="1" x14ac:dyDescent="0.3">
      <c r="B79" s="84" t="s">
        <v>133</v>
      </c>
      <c r="C79" s="85">
        <v>0</v>
      </c>
      <c r="D79" s="85">
        <v>1272.9100000000001</v>
      </c>
      <c r="E79" s="85">
        <v>210</v>
      </c>
      <c r="F79" s="85">
        <v>168</v>
      </c>
      <c r="G79" s="85"/>
      <c r="H79" s="85"/>
      <c r="I79" s="85"/>
      <c r="J79" s="85"/>
      <c r="K79" s="85"/>
      <c r="L79" s="85"/>
      <c r="M79" s="85"/>
      <c r="N79" s="85"/>
      <c r="O79" s="85">
        <v>1650.91</v>
      </c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>
        <f t="shared" si="6"/>
        <v>0</v>
      </c>
    </row>
    <row r="80" spans="2:28" ht="15.75" hidden="1" customHeight="1" outlineLevel="1" x14ac:dyDescent="0.3">
      <c r="B80" s="84" t="s">
        <v>134</v>
      </c>
      <c r="C80" s="85">
        <v>239.05</v>
      </c>
      <c r="D80" s="85">
        <v>399.29</v>
      </c>
      <c r="E80" s="85">
        <v>4.9000000000000004</v>
      </c>
      <c r="F80" s="85">
        <v>107.54</v>
      </c>
      <c r="G80" s="85">
        <v>150.5</v>
      </c>
      <c r="H80" s="85">
        <v>235.71</v>
      </c>
      <c r="I80" s="85">
        <v>58.21</v>
      </c>
      <c r="J80" s="85">
        <v>64.400000000000006</v>
      </c>
      <c r="K80" s="85"/>
      <c r="L80" s="85"/>
      <c r="M80" s="85"/>
      <c r="N80" s="85">
        <v>107.28</v>
      </c>
      <c r="O80" s="85">
        <v>1366.88</v>
      </c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>
        <f t="shared" si="6"/>
        <v>0</v>
      </c>
    </row>
    <row r="81" spans="2:28" ht="15.75" hidden="1" customHeight="1" outlineLevel="1" x14ac:dyDescent="0.3">
      <c r="B81" s="84" t="s">
        <v>135</v>
      </c>
      <c r="C81" s="85">
        <v>0</v>
      </c>
      <c r="D81" s="85">
        <v>0</v>
      </c>
      <c r="E81" s="85">
        <v>0</v>
      </c>
      <c r="F81" s="85">
        <v>443.8</v>
      </c>
      <c r="G81" s="85"/>
      <c r="H81" s="85"/>
      <c r="I81" s="85"/>
      <c r="J81" s="85"/>
      <c r="K81" s="85"/>
      <c r="L81" s="85"/>
      <c r="M81" s="85"/>
      <c r="N81" s="85"/>
      <c r="O81" s="85">
        <v>443.8</v>
      </c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>
        <f t="shared" si="6"/>
        <v>0</v>
      </c>
    </row>
    <row r="82" spans="2:28" ht="15.75" hidden="1" customHeight="1" outlineLevel="1" x14ac:dyDescent="0.3">
      <c r="B82" s="84" t="s">
        <v>203</v>
      </c>
      <c r="C82" s="85">
        <v>0</v>
      </c>
      <c r="D82" s="85">
        <v>0</v>
      </c>
      <c r="E82" s="85">
        <v>0</v>
      </c>
      <c r="F82" s="85">
        <v>5447</v>
      </c>
      <c r="G82" s="85">
        <v>3001</v>
      </c>
      <c r="H82" s="85"/>
      <c r="I82" s="85"/>
      <c r="J82" s="85">
        <v>3674.7</v>
      </c>
      <c r="K82" s="85"/>
      <c r="L82" s="85"/>
      <c r="M82" s="85"/>
      <c r="N82" s="85"/>
      <c r="O82" s="85">
        <v>12122.7</v>
      </c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>
        <f t="shared" si="6"/>
        <v>0</v>
      </c>
    </row>
    <row r="83" spans="2:28" ht="15.75" hidden="1" customHeight="1" outlineLevel="1" x14ac:dyDescent="0.3">
      <c r="B83" s="84" t="s">
        <v>136</v>
      </c>
      <c r="C83" s="85">
        <v>0</v>
      </c>
      <c r="D83" s="85">
        <v>0</v>
      </c>
      <c r="E83" s="85">
        <v>7750</v>
      </c>
      <c r="F83" s="85"/>
      <c r="G83" s="85"/>
      <c r="H83" s="85"/>
      <c r="I83" s="85"/>
      <c r="J83" s="85"/>
      <c r="K83" s="85"/>
      <c r="L83" s="85"/>
      <c r="M83" s="85">
        <v>-750</v>
      </c>
      <c r="N83" s="85"/>
      <c r="O83" s="85">
        <v>7000</v>
      </c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>
        <f t="shared" si="6"/>
        <v>0</v>
      </c>
    </row>
    <row r="84" spans="2:28" ht="15.75" customHeight="1" collapsed="1" x14ac:dyDescent="0.3">
      <c r="B84" s="86" t="s">
        <v>18</v>
      </c>
      <c r="C84" s="87">
        <v>111060.75</v>
      </c>
      <c r="D84" s="87">
        <v>52102.799999999996</v>
      </c>
      <c r="E84" s="87">
        <v>76611.75</v>
      </c>
      <c r="F84" s="87">
        <v>21813.940000000002</v>
      </c>
      <c r="G84" s="87">
        <v>41976.3</v>
      </c>
      <c r="H84" s="87">
        <v>218676.01</v>
      </c>
      <c r="I84" s="87">
        <v>66491.210000000006</v>
      </c>
      <c r="J84" s="87">
        <v>43242.29</v>
      </c>
      <c r="K84" s="87">
        <v>75202.600000000006</v>
      </c>
      <c r="L84" s="87">
        <v>27635.9</v>
      </c>
      <c r="M84" s="87">
        <v>73870</v>
      </c>
      <c r="N84" s="87">
        <v>47606.479999999996</v>
      </c>
      <c r="O84" s="87">
        <v>856290.03</v>
      </c>
      <c r="P84" s="87">
        <f t="shared" ref="P84:AA84" si="13">P39+P55+P63+P69+P72+P73+P74+P76+P77</f>
        <v>89000</v>
      </c>
      <c r="Q84" s="87">
        <f t="shared" si="13"/>
        <v>62500</v>
      </c>
      <c r="R84" s="87">
        <f t="shared" si="13"/>
        <v>76361</v>
      </c>
      <c r="S84" s="87">
        <f t="shared" si="13"/>
        <v>57500</v>
      </c>
      <c r="T84" s="87">
        <f t="shared" si="13"/>
        <v>240500</v>
      </c>
      <c r="U84" s="87">
        <f t="shared" si="13"/>
        <v>52361</v>
      </c>
      <c r="V84" s="87">
        <f t="shared" si="13"/>
        <v>29500</v>
      </c>
      <c r="W84" s="87">
        <f t="shared" si="13"/>
        <v>125000</v>
      </c>
      <c r="X84" s="87">
        <f t="shared" si="13"/>
        <v>99361</v>
      </c>
      <c r="Y84" s="87">
        <f t="shared" si="13"/>
        <v>52500</v>
      </c>
      <c r="Z84" s="87">
        <f t="shared" si="13"/>
        <v>126500</v>
      </c>
      <c r="AA84" s="87">
        <f t="shared" si="13"/>
        <v>76361</v>
      </c>
      <c r="AB84" s="87">
        <f t="shared" si="6"/>
        <v>1087444</v>
      </c>
    </row>
    <row r="85" spans="2:28" ht="15.75" customHeight="1" x14ac:dyDescent="0.3">
      <c r="B85" s="88"/>
      <c r="C85" s="88">
        <v>0</v>
      </c>
      <c r="D85" s="88">
        <v>0</v>
      </c>
      <c r="E85" s="88">
        <v>0</v>
      </c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</row>
    <row r="86" spans="2:28" ht="15.75" customHeight="1" x14ac:dyDescent="0.3">
      <c r="B86" s="89"/>
      <c r="C86" s="89">
        <v>0</v>
      </c>
      <c r="D86" s="89">
        <v>0</v>
      </c>
      <c r="E86" s="89">
        <v>0</v>
      </c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</row>
    <row r="87" spans="2:28" ht="15.75" customHeight="1" x14ac:dyDescent="0.3">
      <c r="B87" s="82" t="s">
        <v>19</v>
      </c>
      <c r="C87" s="83">
        <v>0</v>
      </c>
      <c r="D87" s="83">
        <v>0</v>
      </c>
      <c r="E87" s="83">
        <v>-1021</v>
      </c>
      <c r="F87" s="83">
        <v>0</v>
      </c>
      <c r="G87" s="83">
        <v>0</v>
      </c>
      <c r="H87" s="83">
        <v>0</v>
      </c>
      <c r="I87" s="83">
        <v>0</v>
      </c>
      <c r="J87" s="83">
        <v>0</v>
      </c>
      <c r="K87" s="83">
        <v>0</v>
      </c>
      <c r="L87" s="83">
        <v>0</v>
      </c>
      <c r="M87" s="83">
        <v>0</v>
      </c>
      <c r="N87" s="83">
        <v>0</v>
      </c>
      <c r="O87" s="83">
        <v>-1021</v>
      </c>
      <c r="P87" s="83">
        <f t="shared" ref="P87:AA87" si="14">SUM(P88)</f>
        <v>0</v>
      </c>
      <c r="Q87" s="83">
        <f t="shared" si="14"/>
        <v>0</v>
      </c>
      <c r="R87" s="83">
        <f t="shared" si="14"/>
        <v>0</v>
      </c>
      <c r="S87" s="83">
        <f t="shared" si="14"/>
        <v>0</v>
      </c>
      <c r="T87" s="83">
        <f t="shared" si="14"/>
        <v>0</v>
      </c>
      <c r="U87" s="83">
        <f t="shared" si="14"/>
        <v>0</v>
      </c>
      <c r="V87" s="83">
        <f t="shared" si="14"/>
        <v>0</v>
      </c>
      <c r="W87" s="83">
        <f t="shared" si="14"/>
        <v>0</v>
      </c>
      <c r="X87" s="83">
        <f t="shared" si="14"/>
        <v>0</v>
      </c>
      <c r="Y87" s="83">
        <f t="shared" si="14"/>
        <v>0</v>
      </c>
      <c r="Z87" s="83">
        <f t="shared" si="14"/>
        <v>0</v>
      </c>
      <c r="AA87" s="83">
        <f t="shared" si="14"/>
        <v>0</v>
      </c>
      <c r="AB87" s="83">
        <f t="shared" ref="AB87:AB89" si="15">SUM(P87:AA87)</f>
        <v>0</v>
      </c>
    </row>
    <row r="88" spans="2:28" ht="15.75" hidden="1" customHeight="1" outlineLevel="1" x14ac:dyDescent="0.3">
      <c r="B88" s="84" t="str">
        <f>"8040"&amp;" - "&amp;"Renteinntekt bank"</f>
        <v>8040 - Renteinntekt bank</v>
      </c>
      <c r="C88" s="85"/>
      <c r="D88" s="85"/>
      <c r="E88" s="85">
        <v>-1021</v>
      </c>
      <c r="F88" s="85"/>
      <c r="G88" s="85"/>
      <c r="H88" s="85"/>
      <c r="I88" s="85"/>
      <c r="J88" s="85"/>
      <c r="K88" s="85"/>
      <c r="L88" s="85"/>
      <c r="M88" s="85"/>
      <c r="N88" s="85"/>
      <c r="O88" s="85">
        <v>-1021</v>
      </c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>
        <f t="shared" si="15"/>
        <v>0</v>
      </c>
    </row>
    <row r="89" spans="2:28" ht="15.75" customHeight="1" collapsed="1" thickBot="1" x14ac:dyDescent="0.35">
      <c r="B89" s="90" t="s">
        <v>20</v>
      </c>
      <c r="C89" s="91">
        <v>51665.440000000002</v>
      </c>
      <c r="D89" s="91">
        <v>-224918.2</v>
      </c>
      <c r="E89" s="91">
        <v>-15081.710000000006</v>
      </c>
      <c r="F89" s="91">
        <v>-87431.06</v>
      </c>
      <c r="G89" s="91">
        <v>-2090.4499999999971</v>
      </c>
      <c r="H89" s="91">
        <v>126322.01000000001</v>
      </c>
      <c r="I89" s="91">
        <v>17659.210000000006</v>
      </c>
      <c r="J89" s="91">
        <v>-36103.71</v>
      </c>
      <c r="K89" s="91">
        <v>-67003.439999999973</v>
      </c>
      <c r="L89" s="91">
        <v>20733.900000000001</v>
      </c>
      <c r="M89" s="91">
        <v>37686.21</v>
      </c>
      <c r="N89" s="91">
        <v>47138.149999999994</v>
      </c>
      <c r="O89" s="91">
        <v>-131423.65</v>
      </c>
      <c r="P89" s="91">
        <f t="shared" ref="P89:AA89" si="16">P35+P84+P87</f>
        <v>68000</v>
      </c>
      <c r="Q89" s="91">
        <f t="shared" si="16"/>
        <v>39218</v>
      </c>
      <c r="R89" s="91">
        <f t="shared" si="16"/>
        <v>-59639</v>
      </c>
      <c r="S89" s="91">
        <f t="shared" si="16"/>
        <v>36500</v>
      </c>
      <c r="T89" s="91">
        <f t="shared" si="16"/>
        <v>99500</v>
      </c>
      <c r="U89" s="91">
        <f t="shared" si="16"/>
        <v>-78639</v>
      </c>
      <c r="V89" s="91">
        <f t="shared" si="16"/>
        <v>26500</v>
      </c>
      <c r="W89" s="91">
        <f t="shared" si="16"/>
        <v>112000</v>
      </c>
      <c r="X89" s="91">
        <f t="shared" si="16"/>
        <v>83361</v>
      </c>
      <c r="Y89" s="91">
        <f t="shared" si="16"/>
        <v>-91473</v>
      </c>
      <c r="Z89" s="91">
        <f t="shared" si="16"/>
        <v>-54500</v>
      </c>
      <c r="AA89" s="91">
        <f t="shared" si="16"/>
        <v>-180828</v>
      </c>
      <c r="AB89" s="91">
        <f t="shared" si="15"/>
        <v>0</v>
      </c>
    </row>
    <row r="90" spans="2:28" ht="15.75" customHeight="1" thickTop="1" x14ac:dyDescent="0.3"/>
    <row r="91" spans="2:28" ht="15.75" customHeight="1" x14ac:dyDescent="0.3"/>
    <row r="92" spans="2:28" ht="15.75" customHeight="1" x14ac:dyDescent="0.3"/>
    <row r="93" spans="2:28" ht="15.75" customHeight="1" x14ac:dyDescent="0.3"/>
    <row r="94" spans="2:28" ht="15.75" customHeight="1" x14ac:dyDescent="0.3"/>
    <row r="95" spans="2:28" ht="15.75" customHeight="1" x14ac:dyDescent="0.3"/>
    <row r="96" spans="2:28" ht="15.75" customHeight="1" x14ac:dyDescent="0.3"/>
    <row r="97" customFormat="1" ht="15.75" customHeight="1" x14ac:dyDescent="0.3"/>
    <row r="98" customFormat="1" ht="15.75" customHeight="1" x14ac:dyDescent="0.3"/>
    <row r="99" customFormat="1" ht="15.75" customHeight="1" x14ac:dyDescent="0.3"/>
    <row r="100" customFormat="1" ht="15.75" customHeight="1" x14ac:dyDescent="0.3"/>
    <row r="101" customFormat="1" ht="15.75" customHeight="1" x14ac:dyDescent="0.3"/>
    <row r="102" customFormat="1" ht="15.75" customHeight="1" x14ac:dyDescent="0.3"/>
    <row r="103" customFormat="1" ht="15.75" customHeight="1" x14ac:dyDescent="0.3"/>
    <row r="104" customFormat="1" ht="15.75" customHeight="1" x14ac:dyDescent="0.3"/>
    <row r="105" customFormat="1" ht="15.75" customHeight="1" x14ac:dyDescent="0.3"/>
    <row r="106" customFormat="1" ht="15.75" customHeight="1" x14ac:dyDescent="0.3"/>
    <row r="107" customFormat="1" ht="15.75" customHeight="1" x14ac:dyDescent="0.3"/>
    <row r="108" customFormat="1" ht="15.75" customHeight="1" x14ac:dyDescent="0.3"/>
    <row r="109" customFormat="1" ht="15.75" customHeight="1" x14ac:dyDescent="0.3"/>
    <row r="110" customFormat="1" ht="15.75" customHeight="1" x14ac:dyDescent="0.3"/>
    <row r="111" customFormat="1" ht="15.75" customHeight="1" x14ac:dyDescent="0.3"/>
    <row r="112" customFormat="1" ht="15.75" customHeight="1" x14ac:dyDescent="0.3"/>
    <row r="113" customFormat="1" ht="15.75" customHeight="1" x14ac:dyDescent="0.3"/>
    <row r="114" customFormat="1" ht="15.75" customHeight="1" x14ac:dyDescent="0.3"/>
    <row r="115" customFormat="1" ht="15.75" customHeight="1" x14ac:dyDescent="0.3"/>
    <row r="116" customFormat="1" ht="15.75" customHeight="1" x14ac:dyDescent="0.3"/>
    <row r="117" customFormat="1" ht="15.75" customHeight="1" x14ac:dyDescent="0.3"/>
    <row r="118" customFormat="1" ht="15.75" customHeight="1" x14ac:dyDescent="0.3"/>
    <row r="119" customFormat="1" ht="15.75" customHeight="1" x14ac:dyDescent="0.3"/>
    <row r="120" customFormat="1" ht="15.75" customHeight="1" x14ac:dyDescent="0.3"/>
    <row r="121" customFormat="1" ht="15.75" customHeight="1" x14ac:dyDescent="0.3"/>
    <row r="122" customFormat="1" ht="15.75" customHeight="1" x14ac:dyDescent="0.3"/>
    <row r="123" customFormat="1" ht="15.75" customHeight="1" x14ac:dyDescent="0.3"/>
    <row r="124" customFormat="1" ht="15.75" customHeight="1" x14ac:dyDescent="0.3"/>
    <row r="125" customFormat="1" ht="15.75" customHeight="1" x14ac:dyDescent="0.3"/>
    <row r="126" customFormat="1" ht="15.75" customHeight="1" x14ac:dyDescent="0.3"/>
    <row r="127" customFormat="1" ht="15.75" customHeight="1" x14ac:dyDescent="0.3"/>
    <row r="128" customFormat="1" ht="15.75" customHeight="1" x14ac:dyDescent="0.3"/>
    <row r="129" customFormat="1" ht="15.75" customHeight="1" x14ac:dyDescent="0.3"/>
    <row r="130" customFormat="1" ht="15.75" customHeight="1" x14ac:dyDescent="0.3"/>
    <row r="131" customFormat="1" ht="15.75" customHeight="1" x14ac:dyDescent="0.3"/>
    <row r="132" customFormat="1" ht="15.75" customHeight="1" x14ac:dyDescent="0.3"/>
    <row r="133" customFormat="1" ht="15.75" customHeight="1" x14ac:dyDescent="0.3"/>
    <row r="134" customFormat="1" ht="15.75" customHeight="1" x14ac:dyDescent="0.3"/>
    <row r="135" customFormat="1" ht="15.75" customHeight="1" x14ac:dyDescent="0.3"/>
    <row r="136" customFormat="1" ht="15.75" customHeight="1" x14ac:dyDescent="0.3"/>
    <row r="137" customFormat="1" ht="15.75" customHeight="1" x14ac:dyDescent="0.3"/>
    <row r="138" customFormat="1" ht="15.75" customHeight="1" x14ac:dyDescent="0.3"/>
    <row r="139" customFormat="1" ht="15.75" customHeight="1" x14ac:dyDescent="0.3"/>
    <row r="140" customFormat="1" ht="15.75" customHeight="1" x14ac:dyDescent="0.3"/>
    <row r="141" customFormat="1" ht="15.75" customHeight="1" x14ac:dyDescent="0.3"/>
    <row r="142" customFormat="1" ht="15.75" customHeight="1" x14ac:dyDescent="0.3"/>
    <row r="143" customFormat="1" ht="15.75" customHeight="1" x14ac:dyDescent="0.3"/>
    <row r="144" customFormat="1" ht="15.75" customHeight="1" x14ac:dyDescent="0.3"/>
    <row r="145" customFormat="1" ht="15.75" customHeight="1" x14ac:dyDescent="0.3"/>
    <row r="146" customFormat="1" ht="15.75" customHeight="1" x14ac:dyDescent="0.3"/>
    <row r="147" customFormat="1" ht="15.75" customHeight="1" x14ac:dyDescent="0.3"/>
    <row r="148" customFormat="1" ht="15.75" customHeight="1" x14ac:dyDescent="0.3"/>
    <row r="149" customFormat="1" ht="15.75" customHeight="1" x14ac:dyDescent="0.3"/>
    <row r="150" customFormat="1" ht="15.75" customHeight="1" x14ac:dyDescent="0.3"/>
    <row r="151" customFormat="1" ht="15.75" customHeight="1" x14ac:dyDescent="0.3"/>
    <row r="152" customFormat="1" ht="15.75" customHeight="1" x14ac:dyDescent="0.3"/>
    <row r="153" customFormat="1" ht="15.75" customHeight="1" x14ac:dyDescent="0.3"/>
    <row r="154" customFormat="1" ht="15.75" customHeight="1" x14ac:dyDescent="0.3"/>
    <row r="155" customFormat="1" ht="15.75" customHeight="1" x14ac:dyDescent="0.3"/>
    <row r="156" customFormat="1" ht="15.75" customHeight="1" x14ac:dyDescent="0.3"/>
    <row r="157" customFormat="1" ht="15.75" customHeight="1" x14ac:dyDescent="0.3"/>
    <row r="158" customFormat="1" ht="15.75" customHeight="1" x14ac:dyDescent="0.3"/>
    <row r="159" customFormat="1" ht="15.75" customHeight="1" x14ac:dyDescent="0.3"/>
    <row r="160" customFormat="1" ht="15.75" customHeight="1" x14ac:dyDescent="0.3"/>
    <row r="161" customFormat="1" ht="15.75" customHeight="1" x14ac:dyDescent="0.3"/>
    <row r="162" customFormat="1" ht="15.75" customHeight="1" x14ac:dyDescent="0.3"/>
    <row r="163" customFormat="1" ht="15.75" customHeight="1" x14ac:dyDescent="0.3"/>
    <row r="164" customFormat="1" ht="15.75" customHeight="1" x14ac:dyDescent="0.3"/>
    <row r="165" customFormat="1" ht="15.75" customHeight="1" x14ac:dyDescent="0.3"/>
    <row r="166" customFormat="1" ht="15.75" customHeight="1" x14ac:dyDescent="0.3"/>
    <row r="167" customFormat="1" ht="15.75" customHeight="1" x14ac:dyDescent="0.3"/>
    <row r="168" customFormat="1" ht="15.75" customHeight="1" x14ac:dyDescent="0.3"/>
    <row r="169" customFormat="1" ht="15.75" customHeight="1" x14ac:dyDescent="0.3"/>
    <row r="170" customFormat="1" ht="15.75" customHeight="1" x14ac:dyDescent="0.3"/>
    <row r="171" customFormat="1" ht="15.75" customHeight="1" x14ac:dyDescent="0.3"/>
    <row r="172" customFormat="1" ht="15.75" customHeight="1" x14ac:dyDescent="0.3"/>
    <row r="173" customFormat="1" ht="15.75" customHeight="1" x14ac:dyDescent="0.3"/>
    <row r="174" customFormat="1" ht="15.75" customHeight="1" x14ac:dyDescent="0.3"/>
    <row r="175" customFormat="1" ht="15.75" customHeight="1" x14ac:dyDescent="0.3"/>
    <row r="176" customFormat="1" ht="15.75" customHeight="1" x14ac:dyDescent="0.3"/>
    <row r="177" customFormat="1" ht="15.75" customHeight="1" x14ac:dyDescent="0.3"/>
    <row r="178" customFormat="1" ht="15.75" customHeight="1" x14ac:dyDescent="0.3"/>
    <row r="179" customFormat="1" ht="15.75" customHeight="1" x14ac:dyDescent="0.3"/>
    <row r="180" customFormat="1" ht="15.75" customHeight="1" x14ac:dyDescent="0.3"/>
    <row r="181" customFormat="1" ht="15.75" customHeight="1" x14ac:dyDescent="0.3"/>
    <row r="182" customFormat="1" ht="15.75" customHeight="1" x14ac:dyDescent="0.3"/>
    <row r="183" customFormat="1" ht="15.75" customHeight="1" x14ac:dyDescent="0.3"/>
    <row r="184" customFormat="1" ht="15.75" customHeight="1" x14ac:dyDescent="0.3"/>
    <row r="185" customFormat="1" ht="15.75" customHeight="1" x14ac:dyDescent="0.3"/>
    <row r="186" customFormat="1" ht="15.75" customHeight="1" x14ac:dyDescent="0.3"/>
    <row r="187" customFormat="1" ht="15.75" customHeight="1" x14ac:dyDescent="0.3"/>
    <row r="188" customFormat="1" ht="15.75" customHeight="1" x14ac:dyDescent="0.3"/>
    <row r="189" customFormat="1" ht="15.75" customHeight="1" x14ac:dyDescent="0.3"/>
    <row r="190" customFormat="1" ht="15.75" customHeight="1" x14ac:dyDescent="0.3"/>
    <row r="191" customFormat="1" ht="15.75" customHeight="1" x14ac:dyDescent="0.3"/>
    <row r="192" customFormat="1" ht="15.75" customHeight="1" x14ac:dyDescent="0.3"/>
    <row r="193" customFormat="1" ht="15.75" customHeight="1" x14ac:dyDescent="0.3"/>
    <row r="194" customFormat="1" ht="15.75" customHeight="1" x14ac:dyDescent="0.3"/>
    <row r="195" customFormat="1" ht="15.75" customHeight="1" x14ac:dyDescent="0.3"/>
    <row r="196" customFormat="1" ht="15.75" customHeight="1" x14ac:dyDescent="0.3"/>
    <row r="197" customFormat="1" ht="15.75" customHeight="1" x14ac:dyDescent="0.3"/>
    <row r="198" customFormat="1" ht="15.75" customHeight="1" x14ac:dyDescent="0.3"/>
    <row r="199" customFormat="1" ht="15.75" customHeight="1" x14ac:dyDescent="0.3"/>
    <row r="200" customFormat="1" ht="15.75" customHeight="1" x14ac:dyDescent="0.3"/>
    <row r="201" customFormat="1" ht="15.75" customHeight="1" x14ac:dyDescent="0.3"/>
    <row r="202" customFormat="1" ht="15.75" customHeight="1" x14ac:dyDescent="0.3"/>
    <row r="203" customFormat="1" ht="15.75" customHeight="1" x14ac:dyDescent="0.3"/>
    <row r="204" customFormat="1" ht="15.75" customHeight="1" x14ac:dyDescent="0.3"/>
    <row r="205" customFormat="1" ht="15.75" customHeight="1" x14ac:dyDescent="0.3"/>
    <row r="206" customFormat="1" ht="15.75" customHeight="1" x14ac:dyDescent="0.3"/>
    <row r="207" customFormat="1" ht="15.75" customHeight="1" x14ac:dyDescent="0.3"/>
    <row r="208" customFormat="1" ht="15.75" customHeight="1" x14ac:dyDescent="0.3"/>
    <row r="209" customFormat="1" ht="15.75" customHeight="1" x14ac:dyDescent="0.3"/>
    <row r="210" customFormat="1" ht="15.75" customHeight="1" x14ac:dyDescent="0.3"/>
    <row r="211" customFormat="1" ht="15.75" customHeight="1" x14ac:dyDescent="0.3"/>
    <row r="212" customFormat="1" ht="15.75" customHeight="1" x14ac:dyDescent="0.3"/>
    <row r="213" customFormat="1" ht="15.75" customHeight="1" x14ac:dyDescent="0.3"/>
    <row r="214" customFormat="1" ht="15.75" customHeight="1" x14ac:dyDescent="0.3"/>
    <row r="215" customFormat="1" ht="15.75" customHeight="1" x14ac:dyDescent="0.3"/>
    <row r="216" customFormat="1" ht="15.75" customHeight="1" x14ac:dyDescent="0.3"/>
    <row r="217" customFormat="1" ht="15.75" customHeight="1" x14ac:dyDescent="0.3"/>
    <row r="218" customFormat="1" ht="15.75" customHeight="1" x14ac:dyDescent="0.3"/>
    <row r="219" customFormat="1" ht="15.75" customHeight="1" x14ac:dyDescent="0.3"/>
    <row r="220" customFormat="1" ht="15.75" customHeight="1" x14ac:dyDescent="0.3"/>
    <row r="221" customFormat="1" ht="15.75" customHeight="1" x14ac:dyDescent="0.3"/>
    <row r="222" customFormat="1" ht="15.75" customHeight="1" x14ac:dyDescent="0.3"/>
    <row r="223" customFormat="1" ht="15.75" customHeight="1" x14ac:dyDescent="0.3"/>
    <row r="224" customFormat="1" ht="15.75" customHeight="1" x14ac:dyDescent="0.3"/>
    <row r="225" customFormat="1" ht="15.75" customHeight="1" x14ac:dyDescent="0.3"/>
    <row r="226" customFormat="1" ht="15.75" customHeight="1" x14ac:dyDescent="0.3"/>
    <row r="227" customFormat="1" ht="15.75" customHeight="1" x14ac:dyDescent="0.3"/>
    <row r="228" customFormat="1" ht="15.75" customHeight="1" x14ac:dyDescent="0.3"/>
    <row r="229" customFormat="1" ht="15.75" customHeight="1" x14ac:dyDescent="0.3"/>
    <row r="230" customFormat="1" ht="15.75" customHeight="1" x14ac:dyDescent="0.3"/>
    <row r="231" customFormat="1" ht="15.75" customHeight="1" x14ac:dyDescent="0.3"/>
    <row r="232" customFormat="1" ht="15.75" customHeight="1" x14ac:dyDescent="0.3"/>
    <row r="233" customFormat="1" ht="15.75" customHeight="1" x14ac:dyDescent="0.3"/>
    <row r="234" customFormat="1" ht="15.75" customHeight="1" x14ac:dyDescent="0.3"/>
    <row r="235" customFormat="1" ht="15.75" customHeight="1" x14ac:dyDescent="0.3"/>
    <row r="236" customFormat="1" ht="15.75" customHeight="1" x14ac:dyDescent="0.3"/>
    <row r="237" customFormat="1" ht="15.75" customHeight="1" x14ac:dyDescent="0.3"/>
    <row r="238" customFormat="1" ht="15.75" customHeight="1" x14ac:dyDescent="0.3"/>
    <row r="239" customFormat="1" ht="15.75" customHeight="1" x14ac:dyDescent="0.3"/>
    <row r="240" customFormat="1" ht="15.75" customHeight="1" x14ac:dyDescent="0.3"/>
    <row r="241" customFormat="1" ht="15.75" customHeight="1" x14ac:dyDescent="0.3"/>
    <row r="242" customFormat="1" ht="15.75" customHeight="1" x14ac:dyDescent="0.3"/>
    <row r="243" customFormat="1" ht="15.75" customHeight="1" x14ac:dyDescent="0.3"/>
    <row r="244" customFormat="1" ht="15.75" customHeight="1" x14ac:dyDescent="0.3"/>
    <row r="245" customFormat="1" ht="15.75" customHeight="1" x14ac:dyDescent="0.3"/>
    <row r="246" customFormat="1" ht="15.75" customHeight="1" x14ac:dyDescent="0.3"/>
    <row r="247" customFormat="1" ht="15.75" customHeight="1" x14ac:dyDescent="0.3"/>
    <row r="248" customFormat="1" ht="15.75" customHeight="1" x14ac:dyDescent="0.3"/>
    <row r="249" customFormat="1" ht="15.75" customHeight="1" x14ac:dyDescent="0.3"/>
    <row r="250" customFormat="1" ht="15.75" customHeight="1" x14ac:dyDescent="0.3"/>
    <row r="251" customFormat="1" ht="15.75" customHeight="1" x14ac:dyDescent="0.3"/>
    <row r="252" customFormat="1" ht="15.75" customHeight="1" x14ac:dyDescent="0.3"/>
    <row r="253" customFormat="1" ht="15.75" customHeight="1" x14ac:dyDescent="0.3"/>
    <row r="254" customFormat="1" ht="15.75" customHeight="1" x14ac:dyDescent="0.3"/>
    <row r="255" customFormat="1" ht="15.75" customHeight="1" x14ac:dyDescent="0.3"/>
    <row r="256" customFormat="1" ht="15.75" customHeight="1" x14ac:dyDescent="0.3"/>
    <row r="257" customFormat="1" ht="15.75" customHeight="1" x14ac:dyDescent="0.3"/>
    <row r="258" customFormat="1" ht="15.75" customHeight="1" x14ac:dyDescent="0.3"/>
    <row r="259" customFormat="1" ht="15.75" customHeight="1" x14ac:dyDescent="0.3"/>
    <row r="260" customFormat="1" ht="15.75" customHeight="1" x14ac:dyDescent="0.3"/>
    <row r="261" customFormat="1" ht="15.75" customHeight="1" x14ac:dyDescent="0.3"/>
    <row r="262" customFormat="1" ht="15.75" customHeight="1" x14ac:dyDescent="0.3"/>
    <row r="263" customFormat="1" ht="15.75" customHeight="1" x14ac:dyDescent="0.3"/>
    <row r="264" customFormat="1" ht="15.75" customHeight="1" x14ac:dyDescent="0.3"/>
    <row r="265" customFormat="1" ht="15.75" customHeight="1" x14ac:dyDescent="0.3"/>
    <row r="266" customFormat="1" ht="15.75" customHeight="1" x14ac:dyDescent="0.3"/>
    <row r="267" customFormat="1" ht="15.75" customHeight="1" x14ac:dyDescent="0.3"/>
    <row r="268" customFormat="1" ht="15.75" customHeight="1" x14ac:dyDescent="0.3"/>
    <row r="269" customFormat="1" ht="15.75" customHeight="1" x14ac:dyDescent="0.3"/>
    <row r="270" customFormat="1" ht="15.75" customHeight="1" x14ac:dyDescent="0.3"/>
    <row r="271" customFormat="1" ht="15.75" customHeight="1" x14ac:dyDescent="0.3"/>
    <row r="272" customFormat="1" ht="15.75" customHeight="1" x14ac:dyDescent="0.3"/>
    <row r="273" customFormat="1" ht="15.75" customHeight="1" x14ac:dyDescent="0.3"/>
    <row r="274" customFormat="1" ht="15.75" customHeight="1" x14ac:dyDescent="0.3"/>
    <row r="275" customFormat="1" ht="15.75" customHeight="1" x14ac:dyDescent="0.3"/>
    <row r="276" customFormat="1" ht="15.75" customHeight="1" x14ac:dyDescent="0.3"/>
    <row r="277" customFormat="1" ht="15.75" customHeight="1" x14ac:dyDescent="0.3"/>
    <row r="278" customFormat="1" ht="15.75" customHeight="1" x14ac:dyDescent="0.3"/>
    <row r="279" customFormat="1" ht="15.75" customHeight="1" x14ac:dyDescent="0.3"/>
    <row r="280" customFormat="1" ht="15.75" customHeight="1" x14ac:dyDescent="0.3"/>
    <row r="281" customFormat="1" ht="15.75" customHeight="1" x14ac:dyDescent="0.3"/>
    <row r="282" customFormat="1" ht="15.75" customHeight="1" x14ac:dyDescent="0.3"/>
    <row r="283" customFormat="1" ht="15.75" customHeight="1" x14ac:dyDescent="0.3"/>
    <row r="284" customFormat="1" ht="15.75" customHeight="1" x14ac:dyDescent="0.3"/>
    <row r="285" customFormat="1" ht="15.75" customHeight="1" x14ac:dyDescent="0.3"/>
    <row r="286" customFormat="1" ht="15.75" customHeight="1" x14ac:dyDescent="0.3"/>
    <row r="287" customFormat="1" ht="15.75" customHeight="1" x14ac:dyDescent="0.3"/>
    <row r="288" customFormat="1" ht="15.75" customHeight="1" x14ac:dyDescent="0.3"/>
    <row r="289" customFormat="1" ht="15.75" customHeight="1" x14ac:dyDescent="0.3"/>
    <row r="290" customFormat="1" ht="15.75" customHeight="1" x14ac:dyDescent="0.3"/>
    <row r="291" customFormat="1" ht="15.75" customHeight="1" x14ac:dyDescent="0.3"/>
    <row r="292" customFormat="1" ht="15.75" customHeight="1" x14ac:dyDescent="0.3"/>
    <row r="293" customFormat="1" ht="15.75" customHeight="1" x14ac:dyDescent="0.3"/>
    <row r="294" customFormat="1" ht="15.75" customHeight="1" x14ac:dyDescent="0.3"/>
    <row r="295" customFormat="1" ht="15.75" customHeight="1" x14ac:dyDescent="0.3"/>
    <row r="296" customFormat="1" ht="15.75" customHeight="1" x14ac:dyDescent="0.3"/>
    <row r="297" customFormat="1" ht="15.75" customHeight="1" x14ac:dyDescent="0.3"/>
    <row r="298" customFormat="1" ht="15.75" customHeight="1" x14ac:dyDescent="0.3"/>
    <row r="299" customFormat="1" ht="15.75" customHeight="1" x14ac:dyDescent="0.3"/>
    <row r="300" customFormat="1" ht="15.75" customHeight="1" x14ac:dyDescent="0.3"/>
    <row r="301" customFormat="1" ht="15.75" customHeight="1" x14ac:dyDescent="0.3"/>
    <row r="302" customFormat="1" ht="15.75" customHeight="1" x14ac:dyDescent="0.3"/>
    <row r="303" customFormat="1" ht="15.75" customHeight="1" x14ac:dyDescent="0.3"/>
    <row r="304" customFormat="1" ht="15.75" customHeight="1" x14ac:dyDescent="0.3"/>
    <row r="305" customFormat="1" ht="15.75" customHeight="1" x14ac:dyDescent="0.3"/>
    <row r="306" customFormat="1" ht="15.75" customHeight="1" x14ac:dyDescent="0.3"/>
    <row r="307" customFormat="1" ht="15.75" customHeight="1" x14ac:dyDescent="0.3"/>
    <row r="308" customFormat="1" ht="15.75" customHeight="1" x14ac:dyDescent="0.3"/>
    <row r="309" customFormat="1" ht="15.75" customHeight="1" x14ac:dyDescent="0.3"/>
    <row r="310" customFormat="1" ht="15.75" customHeight="1" x14ac:dyDescent="0.3"/>
    <row r="311" customFormat="1" ht="15.75" customHeight="1" x14ac:dyDescent="0.3"/>
    <row r="312" customFormat="1" ht="15.75" customHeight="1" x14ac:dyDescent="0.3"/>
    <row r="313" customFormat="1" ht="15.75" customHeight="1" x14ac:dyDescent="0.3"/>
    <row r="314" customFormat="1" ht="15.75" customHeight="1" x14ac:dyDescent="0.3"/>
    <row r="315" customFormat="1" ht="15.75" customHeight="1" x14ac:dyDescent="0.3"/>
    <row r="316" customFormat="1" ht="15.75" customHeight="1" x14ac:dyDescent="0.3"/>
    <row r="317" customFormat="1" ht="15.75" customHeight="1" x14ac:dyDescent="0.3"/>
    <row r="318" customFormat="1" ht="15.75" customHeight="1" x14ac:dyDescent="0.3"/>
    <row r="319" customFormat="1" ht="15.75" customHeight="1" x14ac:dyDescent="0.3"/>
    <row r="320" customFormat="1" ht="15.75" customHeight="1" x14ac:dyDescent="0.3"/>
    <row r="321" customFormat="1" ht="15.75" customHeight="1" x14ac:dyDescent="0.3"/>
    <row r="322" customFormat="1" ht="15.75" customHeight="1" x14ac:dyDescent="0.3"/>
    <row r="323" customFormat="1" ht="15.75" customHeight="1" x14ac:dyDescent="0.3"/>
    <row r="324" customFormat="1" ht="15.75" customHeight="1" x14ac:dyDescent="0.3"/>
    <row r="325" customFormat="1" ht="15.75" customHeight="1" x14ac:dyDescent="0.3"/>
    <row r="326" customFormat="1" ht="15.75" customHeight="1" x14ac:dyDescent="0.3"/>
    <row r="327" customFormat="1" ht="15.75" customHeight="1" x14ac:dyDescent="0.3"/>
    <row r="328" customFormat="1" ht="15.75" customHeight="1" x14ac:dyDescent="0.3"/>
    <row r="329" customFormat="1" ht="15.75" customHeight="1" x14ac:dyDescent="0.3"/>
    <row r="330" customFormat="1" ht="15.75" customHeight="1" x14ac:dyDescent="0.3"/>
    <row r="331" customFormat="1" ht="15.75" customHeight="1" x14ac:dyDescent="0.3"/>
    <row r="332" customFormat="1" ht="15.75" customHeight="1" x14ac:dyDescent="0.3"/>
    <row r="333" customFormat="1" ht="15.75" customHeight="1" x14ac:dyDescent="0.3"/>
    <row r="334" customFormat="1" ht="15.75" customHeight="1" x14ac:dyDescent="0.3"/>
    <row r="335" customFormat="1" ht="15.75" customHeight="1" x14ac:dyDescent="0.3"/>
    <row r="336" customFormat="1" ht="15.75" customHeight="1" x14ac:dyDescent="0.3"/>
    <row r="337" customFormat="1" ht="15.75" customHeight="1" x14ac:dyDescent="0.3"/>
    <row r="338" customFormat="1" ht="15.75" customHeight="1" x14ac:dyDescent="0.3"/>
    <row r="339" customFormat="1" ht="15.75" customHeight="1" x14ac:dyDescent="0.3"/>
    <row r="340" customFormat="1" ht="15.75" customHeight="1" x14ac:dyDescent="0.3"/>
    <row r="341" customFormat="1" ht="15.75" customHeight="1" x14ac:dyDescent="0.3"/>
    <row r="342" customFormat="1" ht="15.75" customHeight="1" x14ac:dyDescent="0.3"/>
    <row r="343" customFormat="1" ht="15.75" customHeight="1" x14ac:dyDescent="0.3"/>
    <row r="344" customFormat="1" ht="15.75" customHeight="1" x14ac:dyDescent="0.3"/>
    <row r="345" customFormat="1" ht="15.75" customHeight="1" x14ac:dyDescent="0.3"/>
    <row r="346" customFormat="1" ht="15.75" customHeight="1" x14ac:dyDescent="0.3"/>
    <row r="347" customFormat="1" ht="15.75" customHeight="1" x14ac:dyDescent="0.3"/>
    <row r="348" customFormat="1" ht="15.75" customHeight="1" x14ac:dyDescent="0.3"/>
    <row r="349" customFormat="1" ht="15.75" customHeight="1" x14ac:dyDescent="0.3"/>
    <row r="350" customFormat="1" ht="15.75" customHeight="1" x14ac:dyDescent="0.3"/>
    <row r="351" customFormat="1" ht="15.75" customHeight="1" x14ac:dyDescent="0.3"/>
    <row r="352" customFormat="1" ht="15.75" customHeight="1" x14ac:dyDescent="0.3"/>
    <row r="353" customFormat="1" ht="15.75" customHeight="1" x14ac:dyDescent="0.3"/>
    <row r="354" customFormat="1" ht="15.75" customHeight="1" x14ac:dyDescent="0.3"/>
    <row r="355" customFormat="1" ht="15.75" customHeight="1" x14ac:dyDescent="0.3"/>
    <row r="356" customFormat="1" ht="15.75" customHeight="1" x14ac:dyDescent="0.3"/>
    <row r="357" customFormat="1" ht="15.75" customHeight="1" x14ac:dyDescent="0.3"/>
    <row r="358" customFormat="1" ht="15.75" customHeight="1" x14ac:dyDescent="0.3"/>
    <row r="359" customFormat="1" ht="15.75" customHeight="1" x14ac:dyDescent="0.3"/>
    <row r="360" customFormat="1" ht="15.75" customHeight="1" x14ac:dyDescent="0.3"/>
    <row r="361" customFormat="1" ht="15.75" customHeight="1" x14ac:dyDescent="0.3"/>
    <row r="362" customFormat="1" ht="15.75" customHeight="1" x14ac:dyDescent="0.3"/>
    <row r="363" customFormat="1" ht="15.75" customHeight="1" x14ac:dyDescent="0.3"/>
    <row r="364" customFormat="1" ht="15.75" customHeight="1" x14ac:dyDescent="0.3"/>
    <row r="365" customFormat="1" ht="15.75" customHeight="1" x14ac:dyDescent="0.3"/>
    <row r="366" customFormat="1" ht="15.75" customHeight="1" x14ac:dyDescent="0.3"/>
    <row r="367" customFormat="1" ht="15.75" customHeight="1" x14ac:dyDescent="0.3"/>
    <row r="368" customFormat="1" ht="15.75" customHeight="1" x14ac:dyDescent="0.3"/>
    <row r="369" customFormat="1" ht="15.75" customHeight="1" x14ac:dyDescent="0.3"/>
    <row r="370" customFormat="1" ht="15.75" customHeight="1" x14ac:dyDescent="0.3"/>
    <row r="371" customFormat="1" ht="15.75" customHeight="1" x14ac:dyDescent="0.3"/>
    <row r="372" customFormat="1" ht="15.75" customHeight="1" x14ac:dyDescent="0.3"/>
    <row r="373" customFormat="1" ht="15.75" customHeight="1" x14ac:dyDescent="0.3"/>
    <row r="374" customFormat="1" ht="15.75" customHeight="1" x14ac:dyDescent="0.3"/>
    <row r="375" customFormat="1" ht="15.75" customHeight="1" x14ac:dyDescent="0.3"/>
    <row r="376" customFormat="1" ht="15.75" customHeight="1" x14ac:dyDescent="0.3"/>
    <row r="377" customFormat="1" ht="15.75" customHeight="1" x14ac:dyDescent="0.3"/>
    <row r="378" customFormat="1" ht="15.75" customHeight="1" x14ac:dyDescent="0.3"/>
    <row r="379" customFormat="1" ht="15.75" customHeight="1" x14ac:dyDescent="0.3"/>
    <row r="380" customFormat="1" ht="15.75" customHeight="1" x14ac:dyDescent="0.3"/>
    <row r="381" customFormat="1" ht="15.75" customHeight="1" x14ac:dyDescent="0.3"/>
    <row r="382" customFormat="1" ht="15.75" customHeight="1" x14ac:dyDescent="0.3"/>
    <row r="383" customFormat="1" ht="15.75" customHeight="1" x14ac:dyDescent="0.3"/>
    <row r="384" customFormat="1" ht="15.75" customHeight="1" x14ac:dyDescent="0.3"/>
    <row r="385" customFormat="1" ht="15.75" customHeight="1" x14ac:dyDescent="0.3"/>
    <row r="386" customFormat="1" ht="15.75" customHeight="1" x14ac:dyDescent="0.3"/>
    <row r="387" customFormat="1" ht="15.75" customHeight="1" x14ac:dyDescent="0.3"/>
    <row r="388" customFormat="1" ht="15.75" customHeight="1" x14ac:dyDescent="0.3"/>
    <row r="389" customFormat="1" ht="15.75" customHeight="1" x14ac:dyDescent="0.3"/>
    <row r="390" customFormat="1" ht="15.75" customHeight="1" x14ac:dyDescent="0.3"/>
    <row r="391" customFormat="1" ht="15.75" customHeight="1" x14ac:dyDescent="0.3"/>
    <row r="392" customFormat="1" ht="15.75" customHeight="1" x14ac:dyDescent="0.3"/>
    <row r="393" customFormat="1" ht="15.75" customHeight="1" x14ac:dyDescent="0.3"/>
    <row r="394" customFormat="1" ht="15.75" customHeight="1" x14ac:dyDescent="0.3"/>
    <row r="395" customFormat="1" ht="15.75" customHeight="1" x14ac:dyDescent="0.3"/>
    <row r="396" customFormat="1" ht="15.75" customHeight="1" x14ac:dyDescent="0.3"/>
    <row r="397" customFormat="1" ht="15.75" customHeight="1" x14ac:dyDescent="0.3"/>
    <row r="398" customFormat="1" ht="15.75" customHeight="1" x14ac:dyDescent="0.3"/>
    <row r="399" customFormat="1" ht="15.75" customHeight="1" x14ac:dyDescent="0.3"/>
    <row r="400" customFormat="1" ht="15.75" customHeight="1" x14ac:dyDescent="0.3"/>
    <row r="401" customFormat="1" ht="15.75" customHeight="1" x14ac:dyDescent="0.3"/>
    <row r="402" customFormat="1" ht="15.75" customHeight="1" x14ac:dyDescent="0.3"/>
    <row r="403" customFormat="1" ht="15.75" customHeight="1" x14ac:dyDescent="0.3"/>
    <row r="404" customFormat="1" ht="15.75" customHeight="1" x14ac:dyDescent="0.3"/>
    <row r="405" customFormat="1" ht="15.75" customHeight="1" x14ac:dyDescent="0.3"/>
    <row r="406" customFormat="1" ht="15.75" customHeight="1" x14ac:dyDescent="0.3"/>
    <row r="407" customFormat="1" ht="15.75" customHeight="1" x14ac:dyDescent="0.3"/>
    <row r="408" customFormat="1" ht="15.75" customHeight="1" x14ac:dyDescent="0.3"/>
    <row r="409" customFormat="1" ht="15.75" customHeight="1" x14ac:dyDescent="0.3"/>
    <row r="410" customFormat="1" ht="15.75" customHeight="1" x14ac:dyDescent="0.3"/>
    <row r="411" customFormat="1" ht="15.75" customHeight="1" x14ac:dyDescent="0.3"/>
    <row r="412" customFormat="1" ht="15.75" customHeight="1" x14ac:dyDescent="0.3"/>
    <row r="413" customFormat="1" ht="15.75" customHeight="1" x14ac:dyDescent="0.3"/>
    <row r="414" customFormat="1" ht="15.75" customHeight="1" x14ac:dyDescent="0.3"/>
    <row r="415" customFormat="1" ht="15.75" customHeight="1" x14ac:dyDescent="0.3"/>
    <row r="416" customFormat="1" ht="15.75" customHeight="1" x14ac:dyDescent="0.3"/>
    <row r="417" customFormat="1" ht="15.75" customHeight="1" x14ac:dyDescent="0.3"/>
    <row r="418" customFormat="1" ht="15.75" customHeight="1" x14ac:dyDescent="0.3"/>
    <row r="419" customFormat="1" ht="15.75" customHeight="1" x14ac:dyDescent="0.3"/>
    <row r="420" customFormat="1" ht="15.75" customHeight="1" x14ac:dyDescent="0.3"/>
    <row r="421" customFormat="1" ht="15.75" customHeight="1" x14ac:dyDescent="0.3"/>
    <row r="422" customFormat="1" ht="15.75" customHeight="1" x14ac:dyDescent="0.3"/>
    <row r="423" customFormat="1" ht="15.75" customHeight="1" x14ac:dyDescent="0.3"/>
    <row r="424" customFormat="1" ht="15.75" customHeight="1" x14ac:dyDescent="0.3"/>
    <row r="425" customFormat="1" ht="15.75" customHeight="1" x14ac:dyDescent="0.3"/>
    <row r="426" customFormat="1" ht="15.75" customHeight="1" x14ac:dyDescent="0.3"/>
    <row r="427" customFormat="1" ht="15.75" customHeight="1" x14ac:dyDescent="0.3"/>
    <row r="428" customFormat="1" ht="15.75" customHeight="1" x14ac:dyDescent="0.3"/>
    <row r="429" customFormat="1" ht="15.75" customHeight="1" x14ac:dyDescent="0.3"/>
    <row r="430" customFormat="1" ht="15.75" customHeight="1" x14ac:dyDescent="0.3"/>
    <row r="431" customFormat="1" ht="15.75" customHeight="1" x14ac:dyDescent="0.3"/>
    <row r="432" customFormat="1" ht="15.75" customHeight="1" x14ac:dyDescent="0.3"/>
    <row r="433" customFormat="1" ht="15.75" customHeight="1" x14ac:dyDescent="0.3"/>
    <row r="434" customFormat="1" ht="15.75" customHeight="1" x14ac:dyDescent="0.3"/>
    <row r="435" customFormat="1" ht="15.75" customHeight="1" x14ac:dyDescent="0.3"/>
    <row r="436" customFormat="1" ht="15.75" customHeight="1" x14ac:dyDescent="0.3"/>
    <row r="437" customFormat="1" ht="15.75" customHeight="1" x14ac:dyDescent="0.3"/>
    <row r="438" customFormat="1" ht="15.75" customHeight="1" x14ac:dyDescent="0.3"/>
    <row r="439" customFormat="1" ht="15.75" customHeight="1" x14ac:dyDescent="0.3"/>
    <row r="440" customFormat="1" ht="15.75" customHeight="1" x14ac:dyDescent="0.3"/>
    <row r="441" customFormat="1" ht="15.75" customHeight="1" x14ac:dyDescent="0.3"/>
    <row r="442" customFormat="1" ht="15.75" customHeight="1" x14ac:dyDescent="0.3"/>
    <row r="443" customFormat="1" ht="15.75" customHeight="1" x14ac:dyDescent="0.3"/>
    <row r="444" customFormat="1" ht="15.75" customHeight="1" x14ac:dyDescent="0.3"/>
    <row r="445" customFormat="1" ht="15.75" customHeight="1" x14ac:dyDescent="0.3"/>
    <row r="446" customFormat="1" ht="15.75" customHeight="1" x14ac:dyDescent="0.3"/>
    <row r="447" customFormat="1" ht="15.75" customHeight="1" x14ac:dyDescent="0.3"/>
    <row r="448" customFormat="1" ht="15.75" customHeight="1" x14ac:dyDescent="0.3"/>
    <row r="449" customFormat="1" ht="15.75" customHeight="1" x14ac:dyDescent="0.3"/>
    <row r="450" customFormat="1" ht="15.75" customHeight="1" x14ac:dyDescent="0.3"/>
    <row r="451" customFormat="1" ht="15.75" customHeight="1" x14ac:dyDescent="0.3"/>
    <row r="452" customFormat="1" ht="15.75" customHeight="1" x14ac:dyDescent="0.3"/>
    <row r="453" customFormat="1" ht="15.75" customHeight="1" x14ac:dyDescent="0.3"/>
    <row r="454" customFormat="1" ht="15.75" customHeight="1" x14ac:dyDescent="0.3"/>
    <row r="455" customFormat="1" ht="15.75" customHeight="1" x14ac:dyDescent="0.3"/>
    <row r="456" customFormat="1" ht="15.75" customHeight="1" x14ac:dyDescent="0.3"/>
    <row r="457" customFormat="1" ht="15.75" customHeight="1" x14ac:dyDescent="0.3"/>
    <row r="458" customFormat="1" ht="15.75" customHeight="1" x14ac:dyDescent="0.3"/>
    <row r="459" customFormat="1" ht="15.75" customHeight="1" x14ac:dyDescent="0.3"/>
    <row r="460" customFormat="1" ht="15.75" customHeight="1" x14ac:dyDescent="0.3"/>
    <row r="461" customFormat="1" ht="15.75" customHeight="1" x14ac:dyDescent="0.3"/>
    <row r="462" customFormat="1" ht="15.75" customHeight="1" x14ac:dyDescent="0.3"/>
    <row r="463" customFormat="1" ht="15.75" customHeight="1" x14ac:dyDescent="0.3"/>
    <row r="464" customFormat="1" ht="15.75" customHeight="1" x14ac:dyDescent="0.3"/>
    <row r="465" customFormat="1" ht="15.75" customHeight="1" x14ac:dyDescent="0.3"/>
    <row r="466" customFormat="1" ht="15.75" customHeight="1" x14ac:dyDescent="0.3"/>
    <row r="467" customFormat="1" ht="15.75" customHeight="1" x14ac:dyDescent="0.3"/>
    <row r="468" customFormat="1" ht="15.75" customHeight="1" x14ac:dyDescent="0.3"/>
    <row r="469" customFormat="1" ht="15.75" customHeight="1" x14ac:dyDescent="0.3"/>
    <row r="470" customFormat="1" ht="15.75" customHeight="1" x14ac:dyDescent="0.3"/>
    <row r="471" customFormat="1" ht="15.75" customHeight="1" x14ac:dyDescent="0.3"/>
    <row r="472" customFormat="1" ht="15.75" customHeight="1" x14ac:dyDescent="0.3"/>
    <row r="473" customFormat="1" ht="15.75" customHeight="1" x14ac:dyDescent="0.3"/>
    <row r="474" customFormat="1" ht="15.75" customHeight="1" x14ac:dyDescent="0.3"/>
    <row r="475" customFormat="1" ht="15.75" customHeight="1" x14ac:dyDescent="0.3"/>
    <row r="476" customFormat="1" ht="15.75" customHeight="1" x14ac:dyDescent="0.3"/>
    <row r="477" customFormat="1" ht="15.75" customHeight="1" x14ac:dyDescent="0.3"/>
    <row r="478" customFormat="1" ht="15.75" customHeight="1" x14ac:dyDescent="0.3"/>
    <row r="479" customFormat="1" ht="15.75" customHeight="1" x14ac:dyDescent="0.3"/>
    <row r="480" customFormat="1" ht="15.75" customHeight="1" x14ac:dyDescent="0.3"/>
    <row r="481" customFormat="1" ht="15.75" customHeight="1" x14ac:dyDescent="0.3"/>
    <row r="482" customFormat="1" ht="15.75" customHeight="1" x14ac:dyDescent="0.3"/>
    <row r="483" customFormat="1" ht="15.75" customHeight="1" x14ac:dyDescent="0.3"/>
    <row r="484" customFormat="1" ht="15.75" customHeight="1" x14ac:dyDescent="0.3"/>
    <row r="485" customFormat="1" ht="15.75" customHeight="1" x14ac:dyDescent="0.3"/>
    <row r="486" customFormat="1" ht="15.75" customHeight="1" x14ac:dyDescent="0.3"/>
    <row r="487" customFormat="1" ht="15.75" customHeight="1" x14ac:dyDescent="0.3"/>
    <row r="488" customFormat="1" ht="15.75" customHeight="1" x14ac:dyDescent="0.3"/>
    <row r="489" customFormat="1" ht="15.75" customHeight="1" x14ac:dyDescent="0.3"/>
    <row r="490" customFormat="1" ht="15.75" customHeight="1" x14ac:dyDescent="0.3"/>
    <row r="491" customFormat="1" ht="15.75" customHeight="1" x14ac:dyDescent="0.3"/>
    <row r="492" customFormat="1" ht="15.75" customHeight="1" x14ac:dyDescent="0.3"/>
    <row r="493" customFormat="1" ht="15.75" customHeight="1" x14ac:dyDescent="0.3"/>
    <row r="494" customFormat="1" ht="15.75" customHeight="1" x14ac:dyDescent="0.3"/>
    <row r="495" customFormat="1" ht="15.75" customHeight="1" x14ac:dyDescent="0.3"/>
    <row r="496" customFormat="1" ht="15.75" customHeight="1" x14ac:dyDescent="0.3"/>
    <row r="497" customFormat="1" ht="15.75" customHeight="1" x14ac:dyDescent="0.3"/>
    <row r="498" customFormat="1" ht="15.75" customHeight="1" x14ac:dyDescent="0.3"/>
    <row r="499" customFormat="1" ht="15.75" customHeight="1" x14ac:dyDescent="0.3"/>
    <row r="500" customFormat="1" ht="15.75" customHeight="1" x14ac:dyDescent="0.3"/>
    <row r="501" customFormat="1" ht="15.75" customHeight="1" x14ac:dyDescent="0.3"/>
    <row r="502" customFormat="1" ht="15.75" customHeight="1" x14ac:dyDescent="0.3"/>
    <row r="503" customFormat="1" ht="15.75" customHeight="1" x14ac:dyDescent="0.3"/>
    <row r="504" customFormat="1" ht="15.75" customHeight="1" x14ac:dyDescent="0.3"/>
    <row r="505" customFormat="1" ht="15.75" customHeight="1" x14ac:dyDescent="0.3"/>
    <row r="506" customFormat="1" ht="15.75" customHeight="1" x14ac:dyDescent="0.3"/>
    <row r="507" customFormat="1" ht="15.75" customHeight="1" x14ac:dyDescent="0.3"/>
    <row r="508" customFormat="1" ht="15.75" customHeight="1" x14ac:dyDescent="0.3"/>
    <row r="509" customFormat="1" ht="15.75" customHeight="1" x14ac:dyDescent="0.3"/>
    <row r="510" customFormat="1" ht="15.75" customHeight="1" x14ac:dyDescent="0.3"/>
    <row r="511" customFormat="1" ht="15.75" customHeight="1" x14ac:dyDescent="0.3"/>
    <row r="512" customFormat="1" ht="15.75" customHeight="1" x14ac:dyDescent="0.3"/>
    <row r="513" customFormat="1" ht="15.75" customHeight="1" x14ac:dyDescent="0.3"/>
    <row r="514" customFormat="1" ht="15.75" customHeight="1" x14ac:dyDescent="0.3"/>
    <row r="515" customFormat="1" ht="15.75" customHeight="1" x14ac:dyDescent="0.3"/>
    <row r="516" customFormat="1" ht="15.75" customHeight="1" x14ac:dyDescent="0.3"/>
    <row r="517" customFormat="1" ht="15.75" customHeight="1" x14ac:dyDescent="0.3"/>
    <row r="518" customFormat="1" ht="15.75" customHeight="1" x14ac:dyDescent="0.3"/>
    <row r="519" customFormat="1" ht="15.75" customHeight="1" x14ac:dyDescent="0.3"/>
    <row r="520" customFormat="1" ht="15.75" customHeight="1" x14ac:dyDescent="0.3"/>
    <row r="521" customFormat="1" ht="15.75" customHeight="1" x14ac:dyDescent="0.3"/>
    <row r="522" customFormat="1" ht="15.75" customHeight="1" x14ac:dyDescent="0.3"/>
    <row r="523" customFormat="1" ht="15.75" customHeight="1" x14ac:dyDescent="0.3"/>
    <row r="524" customFormat="1" ht="15.75" customHeight="1" x14ac:dyDescent="0.3"/>
    <row r="525" customFormat="1" ht="15.75" customHeight="1" x14ac:dyDescent="0.3"/>
    <row r="526" customFormat="1" ht="15.75" customHeight="1" x14ac:dyDescent="0.3"/>
    <row r="527" customFormat="1" ht="15.75" customHeight="1" x14ac:dyDescent="0.3"/>
    <row r="528" customFormat="1" ht="15.75" customHeight="1" x14ac:dyDescent="0.3"/>
    <row r="529" customFormat="1" ht="15.75" customHeight="1" x14ac:dyDescent="0.3"/>
    <row r="530" customFormat="1" ht="15.75" customHeight="1" x14ac:dyDescent="0.3"/>
    <row r="531" customFormat="1" ht="15.75" customHeight="1" x14ac:dyDescent="0.3"/>
    <row r="532" customFormat="1" ht="15.75" customHeight="1" x14ac:dyDescent="0.3"/>
    <row r="533" customFormat="1" ht="15.75" customHeight="1" x14ac:dyDescent="0.3"/>
    <row r="534" customFormat="1" ht="15.75" customHeight="1" x14ac:dyDescent="0.3"/>
    <row r="535" customFormat="1" ht="15.75" customHeight="1" x14ac:dyDescent="0.3"/>
    <row r="536" customFormat="1" ht="15.75" customHeight="1" x14ac:dyDescent="0.3"/>
    <row r="537" customFormat="1" ht="15.75" customHeight="1" x14ac:dyDescent="0.3"/>
    <row r="538" customFormat="1" ht="15.75" customHeight="1" x14ac:dyDescent="0.3"/>
    <row r="539" customFormat="1" ht="15.75" customHeight="1" x14ac:dyDescent="0.3"/>
    <row r="540" customFormat="1" ht="15.75" customHeight="1" x14ac:dyDescent="0.3"/>
    <row r="541" customFormat="1" ht="15.75" customHeight="1" x14ac:dyDescent="0.3"/>
    <row r="542" customFormat="1" ht="15.75" customHeight="1" x14ac:dyDescent="0.3"/>
    <row r="543" customFormat="1" ht="15.75" customHeight="1" x14ac:dyDescent="0.3"/>
    <row r="544" customFormat="1" ht="15.75" customHeight="1" x14ac:dyDescent="0.3"/>
    <row r="545" customFormat="1" ht="15.75" customHeight="1" x14ac:dyDescent="0.3"/>
    <row r="546" customFormat="1" ht="15.75" customHeight="1" x14ac:dyDescent="0.3"/>
    <row r="547" customFormat="1" ht="15.75" customHeight="1" x14ac:dyDescent="0.3"/>
    <row r="548" customFormat="1" ht="15.75" customHeight="1" x14ac:dyDescent="0.3"/>
    <row r="549" customFormat="1" ht="15.75" customHeight="1" x14ac:dyDescent="0.3"/>
    <row r="550" customFormat="1" ht="15.75" customHeight="1" x14ac:dyDescent="0.3"/>
    <row r="551" customFormat="1" ht="15.75" customHeight="1" x14ac:dyDescent="0.3"/>
    <row r="552" customFormat="1" ht="15.75" customHeight="1" x14ac:dyDescent="0.3"/>
    <row r="553" customFormat="1" ht="15.75" customHeight="1" x14ac:dyDescent="0.3"/>
    <row r="554" customFormat="1" ht="15.75" customHeight="1" x14ac:dyDescent="0.3"/>
    <row r="555" customFormat="1" ht="15.75" customHeight="1" x14ac:dyDescent="0.3"/>
    <row r="556" customFormat="1" ht="15.75" customHeight="1" x14ac:dyDescent="0.3"/>
    <row r="557" customFormat="1" ht="15.75" customHeight="1" x14ac:dyDescent="0.3"/>
    <row r="558" customFormat="1" ht="15.75" customHeight="1" x14ac:dyDescent="0.3"/>
    <row r="559" customFormat="1" ht="15.75" customHeight="1" x14ac:dyDescent="0.3"/>
    <row r="560" customFormat="1" ht="15.75" customHeight="1" x14ac:dyDescent="0.3"/>
    <row r="561" customFormat="1" ht="15.75" customHeight="1" x14ac:dyDescent="0.3"/>
    <row r="562" customFormat="1" ht="15.75" customHeight="1" x14ac:dyDescent="0.3"/>
    <row r="563" customFormat="1" ht="15.75" customHeight="1" x14ac:dyDescent="0.3"/>
    <row r="564" customFormat="1" ht="15.75" customHeight="1" x14ac:dyDescent="0.3"/>
    <row r="565" customFormat="1" ht="15.75" customHeight="1" x14ac:dyDescent="0.3"/>
    <row r="566" customFormat="1" ht="15.75" customHeight="1" x14ac:dyDescent="0.3"/>
    <row r="567" customFormat="1" ht="15.75" customHeight="1" x14ac:dyDescent="0.3"/>
    <row r="568" customFormat="1" ht="15.75" customHeight="1" x14ac:dyDescent="0.3"/>
    <row r="569" customFormat="1" ht="15.75" customHeight="1" x14ac:dyDescent="0.3"/>
    <row r="570" customFormat="1" ht="15.75" customHeight="1" x14ac:dyDescent="0.3"/>
    <row r="571" customFormat="1" ht="15.75" customHeight="1" x14ac:dyDescent="0.3"/>
    <row r="572" customFormat="1" ht="15.75" customHeight="1" x14ac:dyDescent="0.3"/>
    <row r="573" customFormat="1" ht="15.75" customHeight="1" x14ac:dyDescent="0.3"/>
    <row r="574" customFormat="1" ht="15.75" customHeight="1" x14ac:dyDescent="0.3"/>
    <row r="575" customFormat="1" ht="15.75" customHeight="1" x14ac:dyDescent="0.3"/>
    <row r="576" customFormat="1" ht="15.75" customHeight="1" x14ac:dyDescent="0.3"/>
    <row r="577" customFormat="1" ht="15.75" customHeight="1" x14ac:dyDescent="0.3"/>
    <row r="578" customFormat="1" ht="15.75" customHeight="1" x14ac:dyDescent="0.3"/>
    <row r="579" customFormat="1" ht="15.75" customHeight="1" x14ac:dyDescent="0.3"/>
    <row r="580" customFormat="1" ht="15.75" customHeight="1" x14ac:dyDescent="0.3"/>
    <row r="581" customFormat="1" ht="15.75" customHeight="1" x14ac:dyDescent="0.3"/>
    <row r="582" customFormat="1" ht="15.75" customHeight="1" x14ac:dyDescent="0.3"/>
    <row r="583" customFormat="1" ht="15.75" customHeight="1" x14ac:dyDescent="0.3"/>
    <row r="584" customFormat="1" ht="15.75" customHeight="1" x14ac:dyDescent="0.3"/>
    <row r="585" customFormat="1" ht="15.75" customHeight="1" x14ac:dyDescent="0.3"/>
    <row r="586" customFormat="1" ht="15.75" customHeight="1" x14ac:dyDescent="0.3"/>
    <row r="587" customFormat="1" ht="15.75" customHeight="1" x14ac:dyDescent="0.3"/>
    <row r="588" customFormat="1" ht="15.75" customHeight="1" x14ac:dyDescent="0.3"/>
    <row r="589" customFormat="1" ht="15.75" customHeight="1" x14ac:dyDescent="0.3"/>
    <row r="590" customFormat="1" ht="15.75" customHeight="1" x14ac:dyDescent="0.3"/>
    <row r="591" customFormat="1" ht="15.75" customHeight="1" x14ac:dyDescent="0.3"/>
    <row r="592" customFormat="1" ht="15.75" customHeight="1" x14ac:dyDescent="0.3"/>
    <row r="593" customFormat="1" ht="15.75" customHeight="1" x14ac:dyDescent="0.3"/>
    <row r="594" customFormat="1" ht="15.75" customHeight="1" x14ac:dyDescent="0.3"/>
    <row r="595" customFormat="1" ht="15.75" customHeight="1" x14ac:dyDescent="0.3"/>
    <row r="596" customFormat="1" ht="15.75" customHeight="1" x14ac:dyDescent="0.3"/>
    <row r="597" customFormat="1" ht="15.75" customHeight="1" x14ac:dyDescent="0.3"/>
    <row r="598" customFormat="1" ht="15.75" customHeight="1" x14ac:dyDescent="0.3"/>
    <row r="599" customFormat="1" ht="15.75" customHeight="1" x14ac:dyDescent="0.3"/>
    <row r="600" customFormat="1" ht="15.75" customHeight="1" x14ac:dyDescent="0.3"/>
    <row r="601" customFormat="1" ht="15.75" customHeight="1" x14ac:dyDescent="0.3"/>
    <row r="602" customFormat="1" ht="15.75" customHeight="1" x14ac:dyDescent="0.3"/>
    <row r="603" customFormat="1" ht="15.75" customHeight="1" x14ac:dyDescent="0.3"/>
    <row r="604" customFormat="1" ht="15.75" customHeight="1" x14ac:dyDescent="0.3"/>
    <row r="605" customFormat="1" ht="15.75" customHeight="1" x14ac:dyDescent="0.3"/>
    <row r="606" customFormat="1" ht="15.75" customHeight="1" x14ac:dyDescent="0.3"/>
    <row r="607" customFormat="1" ht="15.75" customHeight="1" x14ac:dyDescent="0.3"/>
    <row r="608" customFormat="1" ht="15.75" customHeight="1" x14ac:dyDescent="0.3"/>
    <row r="609" customFormat="1" ht="15.75" customHeight="1" x14ac:dyDescent="0.3"/>
    <row r="610" customFormat="1" ht="15.75" customHeight="1" x14ac:dyDescent="0.3"/>
    <row r="611" customFormat="1" ht="15.75" customHeight="1" x14ac:dyDescent="0.3"/>
    <row r="612" customFormat="1" ht="15.75" customHeight="1" x14ac:dyDescent="0.3"/>
    <row r="613" customFormat="1" ht="15.75" customHeight="1" x14ac:dyDescent="0.3"/>
    <row r="614" customFormat="1" ht="15.75" customHeight="1" x14ac:dyDescent="0.3"/>
    <row r="615" customFormat="1" ht="15.75" customHeight="1" x14ac:dyDescent="0.3"/>
    <row r="616" customFormat="1" ht="15.75" customHeight="1" x14ac:dyDescent="0.3"/>
    <row r="617" customFormat="1" ht="15.75" customHeight="1" x14ac:dyDescent="0.3"/>
    <row r="618" customFormat="1" ht="15.75" customHeight="1" x14ac:dyDescent="0.3"/>
    <row r="619" customFormat="1" ht="15.75" customHeight="1" x14ac:dyDescent="0.3"/>
    <row r="620" customFormat="1" ht="15.75" customHeight="1" x14ac:dyDescent="0.3"/>
    <row r="621" customFormat="1" ht="15.75" customHeight="1" x14ac:dyDescent="0.3"/>
    <row r="622" customFormat="1" ht="15.75" customHeight="1" x14ac:dyDescent="0.3"/>
    <row r="623" customFormat="1" ht="15.75" customHeight="1" x14ac:dyDescent="0.3"/>
    <row r="624" customFormat="1" ht="15.75" customHeight="1" x14ac:dyDescent="0.3"/>
    <row r="625" customFormat="1" ht="15.75" customHeight="1" x14ac:dyDescent="0.3"/>
    <row r="626" customFormat="1" ht="15.75" customHeight="1" x14ac:dyDescent="0.3"/>
    <row r="627" customFormat="1" ht="15.75" customHeight="1" x14ac:dyDescent="0.3"/>
    <row r="628" customFormat="1" ht="15.75" customHeight="1" x14ac:dyDescent="0.3"/>
    <row r="629" customFormat="1" ht="15.75" customHeight="1" x14ac:dyDescent="0.3"/>
    <row r="630" customFormat="1" ht="15.75" customHeight="1" x14ac:dyDescent="0.3"/>
    <row r="631" customFormat="1" ht="15.75" customHeight="1" x14ac:dyDescent="0.3"/>
    <row r="632" customFormat="1" ht="15.75" customHeight="1" x14ac:dyDescent="0.3"/>
    <row r="633" customFormat="1" ht="15.75" customHeight="1" x14ac:dyDescent="0.3"/>
    <row r="634" customFormat="1" ht="15.75" customHeight="1" x14ac:dyDescent="0.3"/>
    <row r="635" customFormat="1" ht="15.75" customHeight="1" x14ac:dyDescent="0.3"/>
    <row r="636" customFormat="1" ht="15.75" customHeight="1" x14ac:dyDescent="0.3"/>
    <row r="637" customFormat="1" ht="15.75" customHeight="1" x14ac:dyDescent="0.3"/>
    <row r="638" customFormat="1" ht="15.75" customHeight="1" x14ac:dyDescent="0.3"/>
    <row r="639" customFormat="1" ht="15.75" customHeight="1" x14ac:dyDescent="0.3"/>
    <row r="640" customFormat="1" ht="15.75" customHeight="1" x14ac:dyDescent="0.3"/>
    <row r="641" customFormat="1" ht="15.75" customHeight="1" x14ac:dyDescent="0.3"/>
    <row r="642" customFormat="1" ht="15.75" customHeight="1" x14ac:dyDescent="0.3"/>
    <row r="643" customFormat="1" ht="15.75" customHeight="1" x14ac:dyDescent="0.3"/>
    <row r="644" customFormat="1" ht="15.75" customHeight="1" x14ac:dyDescent="0.3"/>
    <row r="645" customFormat="1" ht="15.75" customHeight="1" x14ac:dyDescent="0.3"/>
    <row r="646" customFormat="1" ht="15.75" customHeight="1" x14ac:dyDescent="0.3"/>
    <row r="647" customFormat="1" ht="15.75" customHeight="1" x14ac:dyDescent="0.3"/>
    <row r="648" customFormat="1" ht="15.75" customHeight="1" x14ac:dyDescent="0.3"/>
    <row r="649" customFormat="1" ht="15.75" customHeight="1" x14ac:dyDescent="0.3"/>
    <row r="650" customFormat="1" ht="15.75" customHeight="1" x14ac:dyDescent="0.3"/>
    <row r="651" customFormat="1" ht="15.75" customHeight="1" x14ac:dyDescent="0.3"/>
    <row r="652" customFormat="1" ht="15.75" customHeight="1" x14ac:dyDescent="0.3"/>
    <row r="653" customFormat="1" ht="15.75" customHeight="1" x14ac:dyDescent="0.3"/>
    <row r="654" customFormat="1" ht="15.75" customHeight="1" x14ac:dyDescent="0.3"/>
    <row r="655" customFormat="1" ht="15.75" customHeight="1" x14ac:dyDescent="0.3"/>
    <row r="656" customFormat="1" ht="15.75" customHeight="1" x14ac:dyDescent="0.3"/>
    <row r="657" customFormat="1" ht="15.75" customHeight="1" x14ac:dyDescent="0.3"/>
    <row r="658" customFormat="1" ht="15.75" customHeight="1" x14ac:dyDescent="0.3"/>
    <row r="659" customFormat="1" ht="15.75" customHeight="1" x14ac:dyDescent="0.3"/>
    <row r="660" customFormat="1" ht="15.75" customHeight="1" x14ac:dyDescent="0.3"/>
    <row r="661" customFormat="1" ht="15.75" customHeight="1" x14ac:dyDescent="0.3"/>
    <row r="662" customFormat="1" ht="15.75" customHeight="1" x14ac:dyDescent="0.3"/>
    <row r="663" customFormat="1" ht="15.75" customHeight="1" x14ac:dyDescent="0.3"/>
    <row r="664" customFormat="1" ht="15.75" customHeight="1" x14ac:dyDescent="0.3"/>
    <row r="665" customFormat="1" ht="15.75" customHeight="1" x14ac:dyDescent="0.3"/>
    <row r="666" customFormat="1" ht="15.75" customHeight="1" x14ac:dyDescent="0.3"/>
    <row r="667" customFormat="1" ht="15.75" customHeight="1" x14ac:dyDescent="0.3"/>
    <row r="668" customFormat="1" ht="15.75" customHeight="1" x14ac:dyDescent="0.3"/>
    <row r="669" customFormat="1" ht="15.75" customHeight="1" x14ac:dyDescent="0.3"/>
    <row r="670" customFormat="1" ht="15.75" customHeight="1" x14ac:dyDescent="0.3"/>
    <row r="671" customFormat="1" ht="15.75" customHeight="1" x14ac:dyDescent="0.3"/>
    <row r="672" customFormat="1" ht="15.75" customHeight="1" x14ac:dyDescent="0.3"/>
    <row r="673" customFormat="1" ht="15.75" customHeight="1" x14ac:dyDescent="0.3"/>
    <row r="674" customFormat="1" ht="15.75" customHeight="1" x14ac:dyDescent="0.3"/>
    <row r="675" customFormat="1" ht="15.75" customHeight="1" x14ac:dyDescent="0.3"/>
    <row r="676" customFormat="1" ht="15.75" customHeight="1" x14ac:dyDescent="0.3"/>
    <row r="677" customFormat="1" ht="15.75" customHeight="1" x14ac:dyDescent="0.3"/>
    <row r="678" customFormat="1" ht="15.75" customHeight="1" x14ac:dyDescent="0.3"/>
    <row r="679" customFormat="1" ht="15.75" customHeight="1" x14ac:dyDescent="0.3"/>
    <row r="680" customFormat="1" ht="15.75" customHeight="1" x14ac:dyDescent="0.3"/>
    <row r="681" customFormat="1" ht="15.75" customHeight="1" x14ac:dyDescent="0.3"/>
    <row r="682" customFormat="1" ht="15.75" customHeight="1" x14ac:dyDescent="0.3"/>
    <row r="683" customFormat="1" ht="15.75" customHeight="1" x14ac:dyDescent="0.3"/>
    <row r="684" customFormat="1" ht="15.75" customHeight="1" x14ac:dyDescent="0.3"/>
    <row r="685" customFormat="1" ht="15.75" customHeight="1" x14ac:dyDescent="0.3"/>
    <row r="686" customFormat="1" ht="15.75" customHeight="1" x14ac:dyDescent="0.3"/>
    <row r="687" customFormat="1" ht="15.75" customHeight="1" x14ac:dyDescent="0.3"/>
    <row r="688" customFormat="1" ht="15.75" customHeight="1" x14ac:dyDescent="0.3"/>
    <row r="689" customFormat="1" ht="15.75" customHeight="1" x14ac:dyDescent="0.3"/>
    <row r="690" customFormat="1" ht="15.75" customHeight="1" x14ac:dyDescent="0.3"/>
    <row r="691" customFormat="1" ht="15.75" customHeight="1" x14ac:dyDescent="0.3"/>
    <row r="692" customFormat="1" ht="15.75" customHeight="1" x14ac:dyDescent="0.3"/>
    <row r="693" customFormat="1" ht="15.75" customHeight="1" x14ac:dyDescent="0.3"/>
    <row r="694" customFormat="1" ht="15.75" customHeight="1" x14ac:dyDescent="0.3"/>
    <row r="695" customFormat="1" ht="15.75" customHeight="1" x14ac:dyDescent="0.3"/>
    <row r="696" customFormat="1" ht="15.75" customHeight="1" x14ac:dyDescent="0.3"/>
    <row r="697" customFormat="1" ht="15.75" customHeight="1" x14ac:dyDescent="0.3"/>
    <row r="698" customFormat="1" ht="15.75" customHeight="1" x14ac:dyDescent="0.3"/>
    <row r="699" customFormat="1" ht="15.75" customHeight="1" x14ac:dyDescent="0.3"/>
    <row r="700" customFormat="1" ht="15.75" customHeight="1" x14ac:dyDescent="0.3"/>
    <row r="701" customFormat="1" ht="15.75" customHeight="1" x14ac:dyDescent="0.3"/>
    <row r="702" customFormat="1" ht="15.75" customHeight="1" x14ac:dyDescent="0.3"/>
    <row r="703" customFormat="1" ht="15.75" customHeight="1" x14ac:dyDescent="0.3"/>
    <row r="704" customFormat="1" ht="15.75" customHeight="1" x14ac:dyDescent="0.3"/>
    <row r="705" customFormat="1" ht="15.75" customHeight="1" x14ac:dyDescent="0.3"/>
    <row r="706" customFormat="1" ht="15.75" customHeight="1" x14ac:dyDescent="0.3"/>
    <row r="707" customFormat="1" ht="15.75" customHeight="1" x14ac:dyDescent="0.3"/>
    <row r="708" customFormat="1" ht="15.75" customHeight="1" x14ac:dyDescent="0.3"/>
    <row r="709" customFormat="1" ht="15.75" customHeight="1" x14ac:dyDescent="0.3"/>
    <row r="710" customFormat="1" ht="15.75" customHeight="1" x14ac:dyDescent="0.3"/>
    <row r="711" customFormat="1" ht="15.75" customHeight="1" x14ac:dyDescent="0.3"/>
    <row r="712" customFormat="1" ht="15.75" customHeight="1" x14ac:dyDescent="0.3"/>
    <row r="713" customFormat="1" ht="15.75" customHeight="1" x14ac:dyDescent="0.3"/>
    <row r="714" customFormat="1" ht="15.75" customHeight="1" x14ac:dyDescent="0.3"/>
    <row r="715" customFormat="1" ht="15.75" customHeight="1" x14ac:dyDescent="0.3"/>
    <row r="716" customFormat="1" ht="15.75" customHeight="1" x14ac:dyDescent="0.3"/>
    <row r="717" customFormat="1" ht="15.75" customHeight="1" x14ac:dyDescent="0.3"/>
    <row r="718" customFormat="1" ht="15.75" customHeight="1" x14ac:dyDescent="0.3"/>
    <row r="719" customFormat="1" ht="15.75" customHeight="1" x14ac:dyDescent="0.3"/>
    <row r="720" customFormat="1" ht="15.75" customHeight="1" x14ac:dyDescent="0.3"/>
    <row r="721" customFormat="1" ht="15.75" customHeight="1" x14ac:dyDescent="0.3"/>
    <row r="722" customFormat="1" ht="15.75" customHeight="1" x14ac:dyDescent="0.3"/>
    <row r="723" customFormat="1" ht="15.75" customHeight="1" x14ac:dyDescent="0.3"/>
    <row r="724" customFormat="1" ht="15.75" customHeight="1" x14ac:dyDescent="0.3"/>
    <row r="725" customFormat="1" ht="15.75" customHeight="1" x14ac:dyDescent="0.3"/>
    <row r="726" customFormat="1" ht="15.75" customHeight="1" x14ac:dyDescent="0.3"/>
    <row r="727" customFormat="1" ht="15.75" customHeight="1" x14ac:dyDescent="0.3"/>
    <row r="728" customFormat="1" ht="15.75" customHeight="1" x14ac:dyDescent="0.3"/>
    <row r="729" customFormat="1" ht="15.75" customHeight="1" x14ac:dyDescent="0.3"/>
    <row r="730" customFormat="1" ht="15.75" customHeight="1" x14ac:dyDescent="0.3"/>
    <row r="731" customFormat="1" ht="15.75" customHeight="1" x14ac:dyDescent="0.3"/>
    <row r="732" customFormat="1" ht="15.75" customHeight="1" x14ac:dyDescent="0.3"/>
    <row r="733" customFormat="1" ht="15.75" customHeight="1" x14ac:dyDescent="0.3"/>
    <row r="734" customFormat="1" ht="15.75" customHeight="1" x14ac:dyDescent="0.3"/>
    <row r="735" customFormat="1" ht="15.75" customHeight="1" x14ac:dyDescent="0.3"/>
    <row r="736" customFormat="1" ht="15.75" customHeight="1" x14ac:dyDescent="0.3"/>
    <row r="737" customFormat="1" ht="15.75" customHeight="1" x14ac:dyDescent="0.3"/>
    <row r="738" customFormat="1" ht="15.75" customHeight="1" x14ac:dyDescent="0.3"/>
    <row r="739" customFormat="1" ht="15.75" customHeight="1" x14ac:dyDescent="0.3"/>
    <row r="740" customFormat="1" ht="15.75" customHeight="1" x14ac:dyDescent="0.3"/>
    <row r="741" customFormat="1" ht="15.75" customHeight="1" x14ac:dyDescent="0.3"/>
    <row r="742" customFormat="1" ht="15.75" customHeight="1" x14ac:dyDescent="0.3"/>
    <row r="743" customFormat="1" ht="15.75" customHeight="1" x14ac:dyDescent="0.3"/>
    <row r="744" customFormat="1" ht="15.75" customHeight="1" x14ac:dyDescent="0.3"/>
    <row r="745" customFormat="1" ht="15.75" customHeight="1" x14ac:dyDescent="0.3"/>
    <row r="746" customFormat="1" ht="15.75" customHeight="1" x14ac:dyDescent="0.3"/>
    <row r="747" customFormat="1" ht="15.75" customHeight="1" x14ac:dyDescent="0.3"/>
    <row r="748" customFormat="1" ht="15.75" customHeight="1" x14ac:dyDescent="0.3"/>
    <row r="749" customFormat="1" ht="15.75" customHeight="1" x14ac:dyDescent="0.3"/>
    <row r="750" customFormat="1" ht="15.75" customHeight="1" x14ac:dyDescent="0.3"/>
    <row r="751" customFormat="1" ht="15.75" customHeight="1" x14ac:dyDescent="0.3"/>
    <row r="752" customFormat="1" ht="15.75" customHeight="1" x14ac:dyDescent="0.3"/>
    <row r="753" customFormat="1" ht="15.75" customHeight="1" x14ac:dyDescent="0.3"/>
    <row r="754" customFormat="1" ht="15.75" customHeight="1" x14ac:dyDescent="0.3"/>
    <row r="755" customFormat="1" ht="15.75" customHeight="1" x14ac:dyDescent="0.3"/>
    <row r="756" customFormat="1" ht="15.75" customHeight="1" x14ac:dyDescent="0.3"/>
    <row r="757" customFormat="1" ht="15.75" customHeight="1" x14ac:dyDescent="0.3"/>
    <row r="758" customFormat="1" ht="15.75" customHeight="1" x14ac:dyDescent="0.3"/>
    <row r="759" customFormat="1" ht="15.75" customHeight="1" x14ac:dyDescent="0.3"/>
    <row r="760" customFormat="1" ht="15.75" customHeight="1" x14ac:dyDescent="0.3"/>
    <row r="761" customFormat="1" ht="15.75" customHeight="1" x14ac:dyDescent="0.3"/>
    <row r="762" customFormat="1" ht="15.75" customHeight="1" x14ac:dyDescent="0.3"/>
    <row r="763" customFormat="1" ht="15.75" customHeight="1" x14ac:dyDescent="0.3"/>
    <row r="764" customFormat="1" ht="15.75" customHeight="1" x14ac:dyDescent="0.3"/>
    <row r="765" customFormat="1" ht="15.75" customHeight="1" x14ac:dyDescent="0.3"/>
    <row r="766" customFormat="1" ht="15.75" customHeight="1" x14ac:dyDescent="0.3"/>
    <row r="767" customFormat="1" ht="15.75" customHeight="1" x14ac:dyDescent="0.3"/>
    <row r="768" customFormat="1" ht="15.75" customHeight="1" x14ac:dyDescent="0.3"/>
    <row r="769" customFormat="1" ht="15.75" customHeight="1" x14ac:dyDescent="0.3"/>
    <row r="770" customFormat="1" ht="15.75" customHeight="1" x14ac:dyDescent="0.3"/>
    <row r="771" customFormat="1" ht="15.75" customHeight="1" x14ac:dyDescent="0.3"/>
    <row r="772" customFormat="1" ht="15.75" customHeight="1" x14ac:dyDescent="0.3"/>
    <row r="773" customFormat="1" ht="15.75" customHeight="1" x14ac:dyDescent="0.3"/>
    <row r="774" customFormat="1" ht="15.75" customHeight="1" x14ac:dyDescent="0.3"/>
    <row r="775" customFormat="1" ht="15.75" customHeight="1" x14ac:dyDescent="0.3"/>
    <row r="776" customFormat="1" ht="15.75" customHeight="1" x14ac:dyDescent="0.3"/>
    <row r="777" customFormat="1" ht="15.75" customHeight="1" x14ac:dyDescent="0.3"/>
    <row r="778" customFormat="1" ht="15.75" customHeight="1" x14ac:dyDescent="0.3"/>
    <row r="779" customFormat="1" ht="15.75" customHeight="1" x14ac:dyDescent="0.3"/>
    <row r="780" customFormat="1" ht="15.75" customHeight="1" x14ac:dyDescent="0.3"/>
    <row r="781" customFormat="1" ht="15.75" customHeight="1" x14ac:dyDescent="0.3"/>
    <row r="782" customFormat="1" ht="15.75" customHeight="1" x14ac:dyDescent="0.3"/>
    <row r="783" customFormat="1" ht="15.75" customHeight="1" x14ac:dyDescent="0.3"/>
    <row r="784" customFormat="1" ht="15.75" customHeight="1" x14ac:dyDescent="0.3"/>
    <row r="785" customFormat="1" ht="15.75" customHeight="1" x14ac:dyDescent="0.3"/>
    <row r="786" customFormat="1" ht="15.75" customHeight="1" x14ac:dyDescent="0.3"/>
    <row r="787" customFormat="1" ht="15.75" customHeight="1" x14ac:dyDescent="0.3"/>
    <row r="788" customFormat="1" ht="15.75" customHeight="1" x14ac:dyDescent="0.3"/>
    <row r="789" customFormat="1" ht="15.75" customHeight="1" x14ac:dyDescent="0.3"/>
    <row r="790" customFormat="1" ht="15.75" customHeight="1" x14ac:dyDescent="0.3"/>
    <row r="791" customFormat="1" ht="15.75" customHeight="1" x14ac:dyDescent="0.3"/>
    <row r="792" customFormat="1" ht="15.75" customHeight="1" x14ac:dyDescent="0.3"/>
    <row r="793" customFormat="1" ht="15.75" customHeight="1" x14ac:dyDescent="0.3"/>
    <row r="794" customFormat="1" ht="15.75" customHeight="1" x14ac:dyDescent="0.3"/>
    <row r="795" customFormat="1" ht="15.75" customHeight="1" x14ac:dyDescent="0.3"/>
    <row r="796" customFormat="1" ht="15.75" customHeight="1" x14ac:dyDescent="0.3"/>
    <row r="797" customFormat="1" ht="15.75" customHeight="1" x14ac:dyDescent="0.3"/>
    <row r="798" customFormat="1" ht="15.75" customHeight="1" x14ac:dyDescent="0.3"/>
    <row r="799" customFormat="1" ht="15.75" customHeight="1" x14ac:dyDescent="0.3"/>
    <row r="800" customFormat="1" ht="15.75" customHeight="1" x14ac:dyDescent="0.3"/>
    <row r="801" customFormat="1" ht="15.75" customHeight="1" x14ac:dyDescent="0.3"/>
    <row r="802" customFormat="1" ht="15.75" customHeight="1" x14ac:dyDescent="0.3"/>
    <row r="803" customFormat="1" ht="15.75" customHeight="1" x14ac:dyDescent="0.3"/>
    <row r="804" customFormat="1" ht="15.75" customHeight="1" x14ac:dyDescent="0.3"/>
    <row r="805" customFormat="1" ht="15.75" customHeight="1" x14ac:dyDescent="0.3"/>
    <row r="806" customFormat="1" ht="15.75" customHeight="1" x14ac:dyDescent="0.3"/>
    <row r="807" customFormat="1" ht="15.75" customHeight="1" x14ac:dyDescent="0.3"/>
    <row r="808" customFormat="1" ht="15.75" customHeight="1" x14ac:dyDescent="0.3"/>
    <row r="809" customFormat="1" ht="15.75" customHeight="1" x14ac:dyDescent="0.3"/>
    <row r="810" customFormat="1" ht="15.75" customHeight="1" x14ac:dyDescent="0.3"/>
    <row r="811" customFormat="1" ht="15.75" customHeight="1" x14ac:dyDescent="0.3"/>
    <row r="812" customFormat="1" ht="15.75" customHeight="1" x14ac:dyDescent="0.3"/>
    <row r="813" customFormat="1" ht="15.75" customHeight="1" x14ac:dyDescent="0.3"/>
    <row r="814" customFormat="1" ht="15.75" customHeight="1" x14ac:dyDescent="0.3"/>
    <row r="815" customFormat="1" ht="15.75" customHeight="1" x14ac:dyDescent="0.3"/>
    <row r="816" customFormat="1" ht="15.75" customHeight="1" x14ac:dyDescent="0.3"/>
    <row r="817" customFormat="1" ht="15.75" customHeight="1" x14ac:dyDescent="0.3"/>
    <row r="818" customFormat="1" ht="15.75" customHeight="1" x14ac:dyDescent="0.3"/>
    <row r="819" customFormat="1" ht="15.75" customHeight="1" x14ac:dyDescent="0.3"/>
    <row r="820" customFormat="1" ht="15.75" customHeight="1" x14ac:dyDescent="0.3"/>
    <row r="821" customFormat="1" ht="15.75" customHeight="1" x14ac:dyDescent="0.3"/>
    <row r="822" customFormat="1" ht="15.75" customHeight="1" x14ac:dyDescent="0.3"/>
    <row r="823" customFormat="1" ht="15.75" customHeight="1" x14ac:dyDescent="0.3"/>
    <row r="824" customFormat="1" ht="15.75" customHeight="1" x14ac:dyDescent="0.3"/>
    <row r="825" customFormat="1" ht="15.75" customHeight="1" x14ac:dyDescent="0.3"/>
    <row r="826" customFormat="1" ht="15.75" customHeight="1" x14ac:dyDescent="0.3"/>
    <row r="827" customFormat="1" ht="15.75" customHeight="1" x14ac:dyDescent="0.3"/>
    <row r="828" customFormat="1" ht="15.75" customHeight="1" x14ac:dyDescent="0.3"/>
    <row r="829" customFormat="1" ht="15.75" customHeight="1" x14ac:dyDescent="0.3"/>
    <row r="830" customFormat="1" ht="15.75" customHeight="1" x14ac:dyDescent="0.3"/>
    <row r="831" customFormat="1" ht="15.75" customHeight="1" x14ac:dyDescent="0.3"/>
    <row r="832" customFormat="1" ht="15.75" customHeight="1" x14ac:dyDescent="0.3"/>
    <row r="833" customFormat="1" ht="15.75" customHeight="1" x14ac:dyDescent="0.3"/>
    <row r="834" customFormat="1" ht="15.75" customHeight="1" x14ac:dyDescent="0.3"/>
    <row r="835" customFormat="1" ht="15.75" customHeight="1" x14ac:dyDescent="0.3"/>
    <row r="836" customFormat="1" ht="15.75" customHeight="1" x14ac:dyDescent="0.3"/>
    <row r="837" customFormat="1" ht="15.75" customHeight="1" x14ac:dyDescent="0.3"/>
    <row r="838" customFormat="1" ht="15.75" customHeight="1" x14ac:dyDescent="0.3"/>
    <row r="839" customFormat="1" ht="15.75" customHeight="1" x14ac:dyDescent="0.3"/>
    <row r="840" customFormat="1" ht="15.75" customHeight="1" x14ac:dyDescent="0.3"/>
    <row r="841" customFormat="1" ht="15.75" customHeight="1" x14ac:dyDescent="0.3"/>
    <row r="842" customFormat="1" ht="15.75" customHeight="1" x14ac:dyDescent="0.3"/>
    <row r="843" customFormat="1" ht="15.75" customHeight="1" x14ac:dyDescent="0.3"/>
    <row r="844" customFormat="1" ht="15.75" customHeight="1" x14ac:dyDescent="0.3"/>
    <row r="845" customFormat="1" ht="15.75" customHeight="1" x14ac:dyDescent="0.3"/>
    <row r="846" customFormat="1" ht="15.75" customHeight="1" x14ac:dyDescent="0.3"/>
    <row r="847" customFormat="1" ht="15.75" customHeight="1" x14ac:dyDescent="0.3"/>
    <row r="848" customFormat="1" ht="15.75" customHeight="1" x14ac:dyDescent="0.3"/>
    <row r="849" customFormat="1" ht="15.75" customHeight="1" x14ac:dyDescent="0.3"/>
    <row r="850" customFormat="1" ht="15.75" customHeight="1" x14ac:dyDescent="0.3"/>
    <row r="851" customFormat="1" ht="15.75" customHeight="1" x14ac:dyDescent="0.3"/>
    <row r="852" customFormat="1" ht="15.75" customHeight="1" x14ac:dyDescent="0.3"/>
    <row r="853" customFormat="1" ht="15.75" customHeight="1" x14ac:dyDescent="0.3"/>
    <row r="854" customFormat="1" ht="15.75" customHeight="1" x14ac:dyDescent="0.3"/>
    <row r="855" customFormat="1" ht="15.75" customHeight="1" x14ac:dyDescent="0.3"/>
    <row r="856" customFormat="1" ht="15.75" customHeight="1" x14ac:dyDescent="0.3"/>
    <row r="857" customFormat="1" ht="15.75" customHeight="1" x14ac:dyDescent="0.3"/>
    <row r="858" customFormat="1" ht="15.75" customHeight="1" x14ac:dyDescent="0.3"/>
    <row r="859" customFormat="1" ht="15.75" customHeight="1" x14ac:dyDescent="0.3"/>
    <row r="860" customFormat="1" ht="15.75" customHeight="1" x14ac:dyDescent="0.3"/>
    <row r="861" customFormat="1" ht="15.75" customHeight="1" x14ac:dyDescent="0.3"/>
    <row r="862" customFormat="1" ht="15.75" customHeight="1" x14ac:dyDescent="0.3"/>
    <row r="863" customFormat="1" ht="15.75" customHeight="1" x14ac:dyDescent="0.3"/>
    <row r="864" customFormat="1" ht="15.75" customHeight="1" x14ac:dyDescent="0.3"/>
    <row r="865" customFormat="1" ht="15.75" customHeight="1" x14ac:dyDescent="0.3"/>
    <row r="866" customFormat="1" ht="15.75" customHeight="1" x14ac:dyDescent="0.3"/>
    <row r="867" customFormat="1" ht="15.75" customHeight="1" x14ac:dyDescent="0.3"/>
    <row r="868" customFormat="1" ht="15.75" customHeight="1" x14ac:dyDescent="0.3"/>
    <row r="869" customFormat="1" ht="15.75" customHeight="1" x14ac:dyDescent="0.3"/>
    <row r="870" customFormat="1" ht="15.75" customHeight="1" x14ac:dyDescent="0.3"/>
    <row r="871" customFormat="1" ht="15.75" customHeight="1" x14ac:dyDescent="0.3"/>
    <row r="872" customFormat="1" ht="15.75" customHeight="1" x14ac:dyDescent="0.3"/>
    <row r="873" customFormat="1" ht="15.75" customHeight="1" x14ac:dyDescent="0.3"/>
    <row r="874" customFormat="1" ht="15.75" customHeight="1" x14ac:dyDescent="0.3"/>
    <row r="875" customFormat="1" ht="15.75" customHeight="1" x14ac:dyDescent="0.3"/>
    <row r="876" customFormat="1" ht="15.75" customHeight="1" x14ac:dyDescent="0.3"/>
    <row r="877" customFormat="1" ht="15.75" customHeight="1" x14ac:dyDescent="0.3"/>
    <row r="878" customFormat="1" ht="15.75" customHeight="1" x14ac:dyDescent="0.3"/>
    <row r="879" customFormat="1" ht="15.75" customHeight="1" x14ac:dyDescent="0.3"/>
    <row r="880" customFormat="1" ht="15.75" customHeight="1" x14ac:dyDescent="0.3"/>
    <row r="881" customFormat="1" ht="15.75" customHeight="1" x14ac:dyDescent="0.3"/>
    <row r="882" customFormat="1" ht="15.75" customHeight="1" x14ac:dyDescent="0.3"/>
    <row r="883" customFormat="1" ht="15.75" customHeight="1" x14ac:dyDescent="0.3"/>
    <row r="884" customFormat="1" ht="15.75" customHeight="1" x14ac:dyDescent="0.3"/>
    <row r="885" customFormat="1" ht="15.75" customHeight="1" x14ac:dyDescent="0.3"/>
    <row r="886" customFormat="1" ht="15.75" customHeight="1" x14ac:dyDescent="0.3"/>
    <row r="887" customFormat="1" ht="15.75" customHeight="1" x14ac:dyDescent="0.3"/>
    <row r="888" customFormat="1" ht="15.75" customHeight="1" x14ac:dyDescent="0.3"/>
    <row r="889" customFormat="1" ht="15.75" customHeight="1" x14ac:dyDescent="0.3"/>
    <row r="890" customFormat="1" ht="15.75" customHeight="1" x14ac:dyDescent="0.3"/>
    <row r="891" customFormat="1" ht="15.75" customHeight="1" x14ac:dyDescent="0.3"/>
    <row r="892" customFormat="1" ht="15.75" customHeight="1" x14ac:dyDescent="0.3"/>
    <row r="893" customFormat="1" ht="15.75" customHeight="1" x14ac:dyDescent="0.3"/>
    <row r="894" customFormat="1" ht="15.75" customHeight="1" x14ac:dyDescent="0.3"/>
    <row r="895" customFormat="1" ht="15.75" customHeight="1" x14ac:dyDescent="0.3"/>
    <row r="896" customFormat="1" ht="15.75" customHeight="1" x14ac:dyDescent="0.3"/>
    <row r="897" customFormat="1" ht="15.75" customHeight="1" x14ac:dyDescent="0.3"/>
    <row r="898" customFormat="1" ht="15.75" customHeight="1" x14ac:dyDescent="0.3"/>
    <row r="899" customFormat="1" ht="15.75" customHeight="1" x14ac:dyDescent="0.3"/>
    <row r="900" customFormat="1" ht="15.75" customHeight="1" x14ac:dyDescent="0.3"/>
    <row r="901" customFormat="1" ht="15.75" customHeight="1" x14ac:dyDescent="0.3"/>
    <row r="902" customFormat="1" ht="15.75" customHeight="1" x14ac:dyDescent="0.3"/>
    <row r="903" customFormat="1" ht="15.75" customHeight="1" x14ac:dyDescent="0.3"/>
    <row r="904" customFormat="1" ht="15.75" customHeight="1" x14ac:dyDescent="0.3"/>
    <row r="905" customFormat="1" ht="15.75" customHeight="1" x14ac:dyDescent="0.3"/>
    <row r="906" customFormat="1" ht="15.75" customHeight="1" x14ac:dyDescent="0.3"/>
    <row r="907" customFormat="1" ht="15.75" customHeight="1" x14ac:dyDescent="0.3"/>
    <row r="908" customFormat="1" ht="15.75" customHeight="1" x14ac:dyDescent="0.3"/>
    <row r="909" customFormat="1" ht="15.75" customHeight="1" x14ac:dyDescent="0.3"/>
    <row r="910" customFormat="1" ht="15.75" customHeight="1" x14ac:dyDescent="0.3"/>
    <row r="911" customFormat="1" ht="15.75" customHeight="1" x14ac:dyDescent="0.3"/>
    <row r="912" customFormat="1" ht="15.75" customHeight="1" x14ac:dyDescent="0.3"/>
    <row r="913" customFormat="1" ht="15.75" customHeight="1" x14ac:dyDescent="0.3"/>
    <row r="914" customFormat="1" ht="15.75" customHeight="1" x14ac:dyDescent="0.3"/>
    <row r="915" customFormat="1" ht="15.75" customHeight="1" x14ac:dyDescent="0.3"/>
    <row r="916" customFormat="1" ht="15.75" customHeight="1" x14ac:dyDescent="0.3"/>
    <row r="917" customFormat="1" ht="15.75" customHeight="1" x14ac:dyDescent="0.3"/>
    <row r="918" customFormat="1" ht="15.75" customHeight="1" x14ac:dyDescent="0.3"/>
    <row r="919" customFormat="1" ht="15.75" customHeight="1" x14ac:dyDescent="0.3"/>
    <row r="920" customFormat="1" ht="15.75" customHeight="1" x14ac:dyDescent="0.3"/>
    <row r="921" customFormat="1" ht="15.75" customHeight="1" x14ac:dyDescent="0.3"/>
    <row r="922" customFormat="1" ht="15.75" customHeight="1" x14ac:dyDescent="0.3"/>
    <row r="923" customFormat="1" ht="15.75" customHeight="1" x14ac:dyDescent="0.3"/>
    <row r="924" customFormat="1" ht="15.75" customHeight="1" x14ac:dyDescent="0.3"/>
    <row r="925" customFormat="1" ht="15.75" customHeight="1" x14ac:dyDescent="0.3"/>
    <row r="926" customFormat="1" ht="15.75" customHeight="1" x14ac:dyDescent="0.3"/>
    <row r="927" customFormat="1" ht="15.75" customHeight="1" x14ac:dyDescent="0.3"/>
    <row r="928" customFormat="1" ht="15.75" customHeight="1" x14ac:dyDescent="0.3"/>
    <row r="929" customFormat="1" ht="15.75" customHeight="1" x14ac:dyDescent="0.3"/>
    <row r="930" customFormat="1" ht="15.75" customHeight="1" x14ac:dyDescent="0.3"/>
    <row r="931" customFormat="1" ht="15.75" customHeight="1" x14ac:dyDescent="0.3"/>
    <row r="932" customFormat="1" ht="15.75" customHeight="1" x14ac:dyDescent="0.3"/>
    <row r="933" customFormat="1" ht="15.75" customHeight="1" x14ac:dyDescent="0.3"/>
    <row r="934" customFormat="1" ht="15.75" customHeight="1" x14ac:dyDescent="0.3"/>
    <row r="935" customFormat="1" ht="15.75" customHeight="1" x14ac:dyDescent="0.3"/>
    <row r="936" customFormat="1" ht="15.75" customHeight="1" x14ac:dyDescent="0.3"/>
    <row r="937" customFormat="1" ht="15.75" customHeight="1" x14ac:dyDescent="0.3"/>
    <row r="938" customFormat="1" ht="15.75" customHeight="1" x14ac:dyDescent="0.3"/>
    <row r="939" customFormat="1" ht="15.75" customHeight="1" x14ac:dyDescent="0.3"/>
    <row r="940" customFormat="1" ht="15.75" customHeight="1" x14ac:dyDescent="0.3"/>
    <row r="941" customFormat="1" ht="15.75" customHeight="1" x14ac:dyDescent="0.3"/>
    <row r="942" customFormat="1" ht="15.75" customHeight="1" x14ac:dyDescent="0.3"/>
    <row r="943" customFormat="1" ht="15.75" customHeight="1" x14ac:dyDescent="0.3"/>
    <row r="944" customFormat="1" ht="15.75" customHeight="1" x14ac:dyDescent="0.3"/>
    <row r="945" customFormat="1" ht="15.75" customHeight="1" x14ac:dyDescent="0.3"/>
    <row r="946" customFormat="1" ht="15.75" customHeight="1" x14ac:dyDescent="0.3"/>
    <row r="947" customFormat="1" ht="15.75" customHeight="1" x14ac:dyDescent="0.3"/>
    <row r="948" customFormat="1" ht="15.75" customHeight="1" x14ac:dyDescent="0.3"/>
    <row r="949" customFormat="1" ht="15.75" customHeight="1" x14ac:dyDescent="0.3"/>
    <row r="950" customFormat="1" ht="15.75" customHeight="1" x14ac:dyDescent="0.3"/>
    <row r="951" customFormat="1" ht="15.75" customHeight="1" x14ac:dyDescent="0.3"/>
    <row r="952" customFormat="1" ht="15.75" customHeight="1" x14ac:dyDescent="0.3"/>
    <row r="953" customFormat="1" ht="15.75" customHeight="1" x14ac:dyDescent="0.3"/>
    <row r="954" customFormat="1" ht="15.75" customHeight="1" x14ac:dyDescent="0.3"/>
    <row r="955" customFormat="1" ht="15.75" customHeight="1" x14ac:dyDescent="0.3"/>
    <row r="956" customFormat="1" ht="15.75" customHeight="1" x14ac:dyDescent="0.3"/>
    <row r="957" customFormat="1" ht="15.75" customHeight="1" x14ac:dyDescent="0.3"/>
    <row r="958" customFormat="1" ht="15.75" customHeight="1" x14ac:dyDescent="0.3"/>
    <row r="959" customFormat="1" ht="15.75" customHeight="1" x14ac:dyDescent="0.3"/>
    <row r="960" customFormat="1" ht="15.75" customHeight="1" x14ac:dyDescent="0.3"/>
    <row r="961" customFormat="1" ht="15.75" customHeight="1" x14ac:dyDescent="0.3"/>
    <row r="962" customFormat="1" ht="15.75" customHeight="1" x14ac:dyDescent="0.3"/>
    <row r="963" customFormat="1" ht="15.75" customHeight="1" x14ac:dyDescent="0.3"/>
    <row r="964" customFormat="1" ht="15.75" customHeight="1" x14ac:dyDescent="0.3"/>
    <row r="965" customFormat="1" ht="15.75" customHeight="1" x14ac:dyDescent="0.3"/>
    <row r="966" customFormat="1" ht="15.75" customHeight="1" x14ac:dyDescent="0.3"/>
    <row r="967" customFormat="1" ht="15.75" customHeight="1" x14ac:dyDescent="0.3"/>
    <row r="968" customFormat="1" ht="15.75" customHeight="1" x14ac:dyDescent="0.3"/>
    <row r="969" customFormat="1" ht="15.75" customHeight="1" x14ac:dyDescent="0.3"/>
    <row r="970" customFormat="1" ht="15.75" customHeight="1" x14ac:dyDescent="0.3"/>
    <row r="971" customFormat="1" ht="15.75" customHeight="1" x14ac:dyDescent="0.3"/>
    <row r="972" customFormat="1" ht="15.75" customHeight="1" x14ac:dyDescent="0.3"/>
    <row r="973" customFormat="1" ht="15.75" customHeight="1" x14ac:dyDescent="0.3"/>
    <row r="974" customFormat="1" ht="15.75" customHeight="1" x14ac:dyDescent="0.3"/>
    <row r="975" customFormat="1" ht="15.75" customHeight="1" x14ac:dyDescent="0.3"/>
    <row r="976" customFormat="1" ht="15.75" customHeight="1" x14ac:dyDescent="0.3"/>
    <row r="977" customFormat="1" ht="15.75" customHeight="1" x14ac:dyDescent="0.3"/>
    <row r="978" customFormat="1" ht="15.75" customHeight="1" x14ac:dyDescent="0.3"/>
    <row r="979" customFormat="1" ht="15.75" customHeight="1" x14ac:dyDescent="0.3"/>
    <row r="980" customFormat="1" ht="15.75" customHeight="1" x14ac:dyDescent="0.3"/>
    <row r="981" customFormat="1" ht="15.75" customHeight="1" x14ac:dyDescent="0.3"/>
    <row r="982" customFormat="1" ht="15.75" customHeight="1" x14ac:dyDescent="0.3"/>
    <row r="983" customFormat="1" ht="15.75" customHeight="1" x14ac:dyDescent="0.3"/>
    <row r="984" customFormat="1" ht="15.75" customHeight="1" x14ac:dyDescent="0.3"/>
    <row r="985" customFormat="1" ht="15.75" customHeight="1" x14ac:dyDescent="0.3"/>
    <row r="986" customFormat="1" ht="15.75" customHeight="1" x14ac:dyDescent="0.3"/>
    <row r="987" customFormat="1" ht="15.75" customHeight="1" x14ac:dyDescent="0.3"/>
    <row r="988" customFormat="1" ht="15.75" customHeight="1" x14ac:dyDescent="0.3"/>
    <row r="989" customFormat="1" ht="15.75" customHeight="1" x14ac:dyDescent="0.3"/>
    <row r="990" customFormat="1" ht="15.75" customHeight="1" x14ac:dyDescent="0.3"/>
    <row r="991" customFormat="1" ht="15.75" customHeight="1" x14ac:dyDescent="0.3"/>
    <row r="992" customFormat="1" ht="15.75" customHeight="1" x14ac:dyDescent="0.3"/>
    <row r="993" customFormat="1" ht="15.75" customHeight="1" x14ac:dyDescent="0.3"/>
    <row r="994" customFormat="1" ht="15.75" customHeight="1" x14ac:dyDescent="0.3"/>
    <row r="995" customFormat="1" ht="15.75" customHeight="1" x14ac:dyDescent="0.3"/>
    <row r="996" customFormat="1" ht="15.75" customHeight="1" x14ac:dyDescent="0.3"/>
    <row r="997" customFormat="1" ht="15.75" customHeight="1" x14ac:dyDescent="0.3"/>
    <row r="998" customFormat="1" ht="15.75" customHeight="1" x14ac:dyDescent="0.3"/>
    <row r="999" customFormat="1" ht="15.75" customHeight="1" x14ac:dyDescent="0.3"/>
    <row r="1000" customFormat="1" ht="15.75" customHeight="1" x14ac:dyDescent="0.3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719E0-8AB9-4F43-BEBF-2404A870E57A}">
  <dimension ref="B1:AC53"/>
  <sheetViews>
    <sheetView topLeftCell="A25" workbookViewId="0">
      <selection activeCell="B38" sqref="B38"/>
    </sheetView>
  </sheetViews>
  <sheetFormatPr baseColWidth="10" defaultRowHeight="14.4" outlineLevelRow="1" outlineLevelCol="1" x14ac:dyDescent="0.3"/>
  <cols>
    <col min="1" max="1" width="0.6640625" customWidth="1"/>
    <col min="2" max="2" width="50.5546875" bestFit="1" customWidth="1"/>
    <col min="3" max="3" width="9.33203125" hidden="1" customWidth="1" outlineLevel="1"/>
    <col min="4" max="4" width="10" hidden="1" customWidth="1" outlineLevel="1"/>
    <col min="5" max="6" width="7.5546875" hidden="1" customWidth="1" outlineLevel="1"/>
    <col min="7" max="7" width="8.109375" hidden="1" customWidth="1" outlineLevel="1"/>
    <col min="8" max="8" width="8.5546875" hidden="1" customWidth="1" outlineLevel="1"/>
    <col min="9" max="9" width="8.109375" hidden="1" customWidth="1" outlineLevel="1"/>
    <col min="10" max="10" width="9.33203125" hidden="1" customWidth="1" outlineLevel="1"/>
    <col min="11" max="11" width="10" hidden="1" customWidth="1" outlineLevel="1"/>
    <col min="12" max="12" width="8.109375" hidden="1" customWidth="1" outlineLevel="1"/>
    <col min="13" max="13" width="8.5546875" hidden="1" customWidth="1" outlineLevel="1"/>
    <col min="14" max="14" width="8.88671875" hidden="1" customWidth="1" outlineLevel="1"/>
    <col min="15" max="15" width="10.88671875" bestFit="1" customWidth="1" collapsed="1"/>
    <col min="16" max="16" width="8.88671875" bestFit="1" customWidth="1"/>
    <col min="17" max="17" width="9.109375" customWidth="1" outlineLevel="1"/>
    <col min="18" max="20" width="8.88671875" customWidth="1" outlineLevel="1"/>
    <col min="21" max="21" width="10" customWidth="1" outlineLevel="1"/>
    <col min="22" max="22" width="8.88671875" customWidth="1" outlineLevel="1"/>
    <col min="23" max="23" width="8.44140625" customWidth="1" outlineLevel="1"/>
    <col min="24" max="24" width="12.109375" customWidth="1" outlineLevel="1"/>
    <col min="25" max="25" width="9.6640625" customWidth="1" outlineLevel="1"/>
    <col min="26" max="26" width="11.88671875" customWidth="1" outlineLevel="1"/>
    <col min="27" max="27" width="11.44140625" outlineLevel="1"/>
    <col min="28" max="28" width="14.88671875" bestFit="1" customWidth="1"/>
    <col min="29" max="29" width="11.44140625" style="65"/>
  </cols>
  <sheetData>
    <row r="1" spans="2:28" ht="4.5" customHeight="1" x14ac:dyDescent="0.3"/>
    <row r="2" spans="2:28" ht="25.8" x14ac:dyDescent="0.5">
      <c r="B2" s="1" t="s">
        <v>0</v>
      </c>
    </row>
    <row r="3" spans="2:28" ht="5.25" customHeight="1" x14ac:dyDescent="0.3"/>
    <row r="4" spans="2:28" ht="15.6" x14ac:dyDescent="0.3">
      <c r="B4" s="2" t="s">
        <v>211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 t="s">
        <v>1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 t="s">
        <v>154</v>
      </c>
    </row>
    <row r="5" spans="2:28" ht="31.2" x14ac:dyDescent="0.3">
      <c r="B5" s="4"/>
      <c r="C5" s="22">
        <v>44470</v>
      </c>
      <c r="D5" s="22">
        <v>44501</v>
      </c>
      <c r="E5" s="22">
        <v>44531</v>
      </c>
      <c r="F5" s="22">
        <v>44562</v>
      </c>
      <c r="G5" s="22">
        <v>44593</v>
      </c>
      <c r="H5" s="22">
        <v>44621</v>
      </c>
      <c r="I5" s="22">
        <v>44652</v>
      </c>
      <c r="J5" s="22">
        <v>44682</v>
      </c>
      <c r="K5" s="22">
        <v>44713</v>
      </c>
      <c r="L5" s="22">
        <v>44743</v>
      </c>
      <c r="M5" s="22">
        <v>44774</v>
      </c>
      <c r="N5" s="22">
        <v>44805</v>
      </c>
      <c r="O5" s="22" t="s">
        <v>141</v>
      </c>
      <c r="P5" s="23" t="s">
        <v>142</v>
      </c>
      <c r="Q5" s="23" t="s">
        <v>143</v>
      </c>
      <c r="R5" s="23" t="s">
        <v>144</v>
      </c>
      <c r="S5" s="23" t="s">
        <v>145</v>
      </c>
      <c r="T5" s="23" t="s">
        <v>146</v>
      </c>
      <c r="U5" s="23" t="s">
        <v>147</v>
      </c>
      <c r="V5" s="23" t="s">
        <v>148</v>
      </c>
      <c r="W5" s="23" t="s">
        <v>149</v>
      </c>
      <c r="X5" s="23" t="s">
        <v>150</v>
      </c>
      <c r="Y5" s="23" t="s">
        <v>151</v>
      </c>
      <c r="Z5" s="23" t="s">
        <v>152</v>
      </c>
      <c r="AA5" s="23" t="s">
        <v>153</v>
      </c>
      <c r="AB5" s="23" t="s">
        <v>157</v>
      </c>
    </row>
    <row r="6" spans="2:28" ht="4.5" customHeight="1" x14ac:dyDescent="0.3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 ht="21" x14ac:dyDescent="0.4">
      <c r="B7" s="6" t="s">
        <v>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collapsed="1" x14ac:dyDescent="0.3">
      <c r="B8" s="8" t="s">
        <v>4</v>
      </c>
      <c r="C8" s="9">
        <v>0</v>
      </c>
      <c r="D8" s="9">
        <v>-9720</v>
      </c>
      <c r="E8" s="9">
        <v>-4201</v>
      </c>
      <c r="F8" s="9">
        <v>0</v>
      </c>
      <c r="G8" s="9">
        <v>0</v>
      </c>
      <c r="H8" s="9">
        <v>-1292</v>
      </c>
      <c r="I8" s="9">
        <v>0</v>
      </c>
      <c r="J8" s="9">
        <v>-9632</v>
      </c>
      <c r="K8" s="9">
        <v>-82889</v>
      </c>
      <c r="L8" s="9">
        <v>-3174</v>
      </c>
      <c r="M8" s="9">
        <v>-4589</v>
      </c>
      <c r="N8" s="9">
        <v>0</v>
      </c>
      <c r="O8" s="9">
        <v>-101576</v>
      </c>
      <c r="P8" s="24">
        <f>SUM(P9:P12)</f>
        <v>0</v>
      </c>
      <c r="Q8" s="24">
        <f t="shared" ref="Q8:AA8" si="0">SUM(Q9:Q12)</f>
        <v>0</v>
      </c>
      <c r="R8" s="24">
        <f t="shared" si="0"/>
        <v>0</v>
      </c>
      <c r="S8" s="24">
        <f t="shared" si="0"/>
        <v>0</v>
      </c>
      <c r="T8" s="24">
        <f t="shared" si="0"/>
        <v>-9500</v>
      </c>
      <c r="U8" s="24">
        <f t="shared" si="0"/>
        <v>-90000</v>
      </c>
      <c r="V8" s="24">
        <f t="shared" si="0"/>
        <v>0</v>
      </c>
      <c r="W8" s="24">
        <f t="shared" si="0"/>
        <v>-3500</v>
      </c>
      <c r="X8" s="24">
        <f t="shared" si="0"/>
        <v>-25000</v>
      </c>
      <c r="Y8" s="24">
        <f t="shared" si="0"/>
        <v>-8000</v>
      </c>
      <c r="Z8" s="24">
        <f t="shared" si="0"/>
        <v>0</v>
      </c>
      <c r="AA8" s="24">
        <f t="shared" si="0"/>
        <v>-2703</v>
      </c>
      <c r="AB8" s="24">
        <f>SUM(P8:AA8)</f>
        <v>-138703</v>
      </c>
    </row>
    <row r="9" spans="2:28" outlineLevel="1" x14ac:dyDescent="0.3">
      <c r="B9" s="10" t="s">
        <v>23</v>
      </c>
      <c r="C9" s="11">
        <v>0</v>
      </c>
      <c r="D9" s="11">
        <v>-9420</v>
      </c>
      <c r="E9" s="11">
        <v>0</v>
      </c>
      <c r="F9" s="11"/>
      <c r="G9" s="11"/>
      <c r="H9" s="11"/>
      <c r="I9" s="11"/>
      <c r="J9" s="11"/>
      <c r="K9" s="11">
        <v>-20550</v>
      </c>
      <c r="L9" s="11">
        <v>0</v>
      </c>
      <c r="M9" s="11"/>
      <c r="N9" s="11"/>
      <c r="O9" s="11">
        <v>-20550</v>
      </c>
      <c r="P9" s="11"/>
      <c r="Q9" s="11"/>
      <c r="R9" s="11"/>
      <c r="S9" s="11"/>
      <c r="T9" s="11"/>
      <c r="U9" s="66">
        <v>-20000</v>
      </c>
      <c r="V9" s="11"/>
      <c r="W9" s="11"/>
      <c r="X9" s="11"/>
      <c r="Y9" s="66">
        <v>-8000</v>
      </c>
      <c r="Z9" s="11"/>
      <c r="AA9" s="11"/>
      <c r="AB9" s="66">
        <f t="shared" ref="AB9:AB52" si="1">SUM(P9:AA9)</f>
        <v>-28000</v>
      </c>
    </row>
    <row r="10" spans="2:28" outlineLevel="1" collapsed="1" x14ac:dyDescent="0.3">
      <c r="B10" s="10" t="s">
        <v>25</v>
      </c>
      <c r="C10" s="11">
        <v>0</v>
      </c>
      <c r="D10" s="11">
        <v>0</v>
      </c>
      <c r="E10" s="11">
        <v>-2933</v>
      </c>
      <c r="F10" s="11">
        <v>0</v>
      </c>
      <c r="G10" s="11"/>
      <c r="H10" s="11"/>
      <c r="I10" s="11"/>
      <c r="J10" s="11"/>
      <c r="K10" s="11"/>
      <c r="L10" s="11"/>
      <c r="M10" s="11"/>
      <c r="N10" s="11"/>
      <c r="O10" s="11">
        <v>0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66">
        <v>-2703</v>
      </c>
      <c r="AB10" s="66">
        <f t="shared" si="1"/>
        <v>-2703</v>
      </c>
    </row>
    <row r="11" spans="2:28" outlineLevel="1" collapsed="1" x14ac:dyDescent="0.3">
      <c r="B11" s="10" t="s">
        <v>173</v>
      </c>
      <c r="C11" s="11">
        <v>0</v>
      </c>
      <c r="D11" s="11">
        <v>0</v>
      </c>
      <c r="E11" s="11">
        <v>0</v>
      </c>
      <c r="F11" s="11"/>
      <c r="G11" s="11"/>
      <c r="H11" s="11"/>
      <c r="I11" s="11">
        <v>0</v>
      </c>
      <c r="J11" s="11">
        <v>-9632</v>
      </c>
      <c r="K11" s="11">
        <v>-37008</v>
      </c>
      <c r="L11" s="11"/>
      <c r="M11" s="11">
        <v>-3464</v>
      </c>
      <c r="N11" s="11"/>
      <c r="O11" s="11">
        <v>-50104</v>
      </c>
      <c r="P11" s="11"/>
      <c r="Q11" s="11"/>
      <c r="R11" s="11"/>
      <c r="S11" s="11">
        <v>0</v>
      </c>
      <c r="T11" s="11">
        <v>-9500</v>
      </c>
      <c r="U11" s="11">
        <v>-40000</v>
      </c>
      <c r="V11" s="11"/>
      <c r="W11" s="11">
        <v>-3500</v>
      </c>
      <c r="X11" s="11"/>
      <c r="Y11" s="11"/>
      <c r="Z11" s="11"/>
      <c r="AA11" s="11"/>
      <c r="AB11" s="11">
        <f t="shared" si="1"/>
        <v>-53000</v>
      </c>
    </row>
    <row r="12" spans="2:28" outlineLevel="1" collapsed="1" x14ac:dyDescent="0.3">
      <c r="B12" s="10" t="s">
        <v>174</v>
      </c>
      <c r="C12" s="11">
        <v>0</v>
      </c>
      <c r="D12" s="11">
        <v>-300</v>
      </c>
      <c r="E12" s="11">
        <v>-1268</v>
      </c>
      <c r="F12" s="11"/>
      <c r="G12" s="11"/>
      <c r="H12" s="11">
        <v>-1292</v>
      </c>
      <c r="I12" s="11">
        <v>0</v>
      </c>
      <c r="J12" s="11"/>
      <c r="K12" s="11">
        <v>-25331</v>
      </c>
      <c r="L12" s="11">
        <v>-3174</v>
      </c>
      <c r="M12" s="11">
        <v>-1125</v>
      </c>
      <c r="N12" s="11">
        <v>0</v>
      </c>
      <c r="O12" s="11">
        <v>-30922</v>
      </c>
      <c r="P12" s="11"/>
      <c r="Q12" s="11"/>
      <c r="R12" s="11"/>
      <c r="S12" s="11">
        <v>0</v>
      </c>
      <c r="T12" s="11"/>
      <c r="U12" s="11">
        <v>-30000</v>
      </c>
      <c r="V12" s="11"/>
      <c r="W12" s="11"/>
      <c r="X12" s="11">
        <v>-25000</v>
      </c>
      <c r="Y12" s="11"/>
      <c r="Z12" s="11"/>
      <c r="AA12" s="11"/>
      <c r="AB12" s="11">
        <f t="shared" si="1"/>
        <v>-55000</v>
      </c>
    </row>
    <row r="13" spans="2:28" x14ac:dyDescent="0.3">
      <c r="B13" s="8" t="s">
        <v>5</v>
      </c>
      <c r="C13" s="9">
        <v>0</v>
      </c>
      <c r="D13" s="9">
        <v>-5301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24">
        <f>P14</f>
        <v>0</v>
      </c>
      <c r="Q13" s="24">
        <f t="shared" ref="Q13:AA13" si="2">Q14</f>
        <v>0</v>
      </c>
      <c r="R13" s="24">
        <f t="shared" si="2"/>
        <v>0</v>
      </c>
      <c r="S13" s="24">
        <f t="shared" si="2"/>
        <v>0</v>
      </c>
      <c r="T13" s="24">
        <f t="shared" si="2"/>
        <v>0</v>
      </c>
      <c r="U13" s="24">
        <f t="shared" si="2"/>
        <v>0</v>
      </c>
      <c r="V13" s="24">
        <f t="shared" si="2"/>
        <v>0</v>
      </c>
      <c r="W13" s="24">
        <f t="shared" si="2"/>
        <v>0</v>
      </c>
      <c r="X13" s="24">
        <f t="shared" si="2"/>
        <v>0</v>
      </c>
      <c r="Y13" s="24">
        <f t="shared" si="2"/>
        <v>-6757</v>
      </c>
      <c r="Z13" s="24">
        <f t="shared" si="2"/>
        <v>0</v>
      </c>
      <c r="AA13" s="24">
        <f t="shared" si="2"/>
        <v>0</v>
      </c>
      <c r="AB13" s="24">
        <f t="shared" si="1"/>
        <v>-6757</v>
      </c>
    </row>
    <row r="14" spans="2:28" outlineLevel="1" x14ac:dyDescent="0.3">
      <c r="B14" s="10" t="s">
        <v>32</v>
      </c>
      <c r="C14" s="11">
        <v>0</v>
      </c>
      <c r="D14" s="11">
        <v>-5301</v>
      </c>
      <c r="E14" s="11">
        <v>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66">
        <v>-6757</v>
      </c>
      <c r="Z14" s="11"/>
      <c r="AA14" s="11"/>
      <c r="AB14" s="66">
        <f t="shared" si="1"/>
        <v>-6757</v>
      </c>
    </row>
    <row r="15" spans="2:28" x14ac:dyDescent="0.3">
      <c r="B15" s="8" t="s">
        <v>6</v>
      </c>
      <c r="C15" s="9">
        <v>-3450</v>
      </c>
      <c r="D15" s="9">
        <v>-828</v>
      </c>
      <c r="E15" s="9">
        <v>-326</v>
      </c>
      <c r="F15" s="9">
        <v>-815</v>
      </c>
      <c r="G15" s="9">
        <v>-815</v>
      </c>
      <c r="H15" s="9">
        <v>-326</v>
      </c>
      <c r="I15" s="9">
        <v>-6776</v>
      </c>
      <c r="J15" s="9">
        <v>0</v>
      </c>
      <c r="K15" s="9">
        <v>-2610</v>
      </c>
      <c r="L15" s="9">
        <v>0</v>
      </c>
      <c r="M15" s="9">
        <v>-6486</v>
      </c>
      <c r="N15" s="9">
        <v>-22943</v>
      </c>
      <c r="O15" s="9">
        <v>-40771</v>
      </c>
      <c r="P15" s="24">
        <f>SUM(P16:P17)</f>
        <v>-1304</v>
      </c>
      <c r="Q15" s="24">
        <f t="shared" ref="Q15:AA15" si="3">SUM(Q16:Q17)</f>
        <v>-1304</v>
      </c>
      <c r="R15" s="24">
        <f t="shared" si="3"/>
        <v>-1304</v>
      </c>
      <c r="S15" s="24">
        <f t="shared" si="3"/>
        <v>-4304</v>
      </c>
      <c r="T15" s="24">
        <f t="shared" si="3"/>
        <v>0</v>
      </c>
      <c r="U15" s="24">
        <f t="shared" si="3"/>
        <v>-3000</v>
      </c>
      <c r="V15" s="24">
        <f t="shared" si="3"/>
        <v>-5000</v>
      </c>
      <c r="W15" s="24">
        <f t="shared" si="3"/>
        <v>-6500</v>
      </c>
      <c r="X15" s="24">
        <f t="shared" si="3"/>
        <v>-3500</v>
      </c>
      <c r="Y15" s="24">
        <f t="shared" si="3"/>
        <v>-2500</v>
      </c>
      <c r="Z15" s="24">
        <f t="shared" si="3"/>
        <v>0</v>
      </c>
      <c r="AA15" s="24">
        <f t="shared" si="3"/>
        <v>0</v>
      </c>
      <c r="AB15" s="24">
        <f t="shared" si="1"/>
        <v>-28716</v>
      </c>
    </row>
    <row r="16" spans="2:28" outlineLevel="1" x14ac:dyDescent="0.3">
      <c r="B16" s="10" t="s">
        <v>36</v>
      </c>
      <c r="C16" s="11">
        <v>-3450</v>
      </c>
      <c r="D16" s="11">
        <v>-828</v>
      </c>
      <c r="E16" s="11">
        <v>-326</v>
      </c>
      <c r="F16" s="11">
        <v>-815</v>
      </c>
      <c r="G16" s="11">
        <v>-815</v>
      </c>
      <c r="H16" s="11">
        <v>-326</v>
      </c>
      <c r="I16" s="11">
        <v>-3776</v>
      </c>
      <c r="J16" s="11"/>
      <c r="K16" s="11">
        <v>-2610</v>
      </c>
      <c r="L16" s="11"/>
      <c r="M16" s="11">
        <v>-6486</v>
      </c>
      <c r="N16" s="11">
        <v>-22943</v>
      </c>
      <c r="O16" s="11">
        <v>-37771</v>
      </c>
      <c r="P16" s="11">
        <f>-4*2*(175-12)</f>
        <v>-1304</v>
      </c>
      <c r="Q16" s="11">
        <f t="shared" ref="Q16:S16" si="4">-4*2*(175-12)</f>
        <v>-1304</v>
      </c>
      <c r="R16" s="11">
        <f t="shared" si="4"/>
        <v>-1304</v>
      </c>
      <c r="S16" s="11">
        <f t="shared" si="4"/>
        <v>-1304</v>
      </c>
      <c r="T16" s="11"/>
      <c r="U16" s="11">
        <v>-3000</v>
      </c>
      <c r="V16" s="11">
        <v>-5000</v>
      </c>
      <c r="W16" s="11">
        <v>-6500</v>
      </c>
      <c r="X16" s="11">
        <v>-3500</v>
      </c>
      <c r="Y16" s="11">
        <v>-2500</v>
      </c>
      <c r="Z16" s="11"/>
      <c r="AA16" s="11"/>
      <c r="AB16" s="11">
        <f t="shared" si="1"/>
        <v>-25716</v>
      </c>
    </row>
    <row r="17" spans="2:29" outlineLevel="1" collapsed="1" x14ac:dyDescent="0.3">
      <c r="B17" s="10" t="s">
        <v>37</v>
      </c>
      <c r="C17" s="11">
        <v>0</v>
      </c>
      <c r="D17" s="11">
        <v>0</v>
      </c>
      <c r="E17" s="11">
        <v>0</v>
      </c>
      <c r="F17" s="11"/>
      <c r="G17" s="11"/>
      <c r="H17" s="11"/>
      <c r="I17" s="11">
        <v>-3000</v>
      </c>
      <c r="J17" s="11"/>
      <c r="K17" s="11"/>
      <c r="L17" s="11"/>
      <c r="M17" s="11"/>
      <c r="N17" s="11"/>
      <c r="O17" s="11">
        <v>-3000</v>
      </c>
      <c r="P17" s="11"/>
      <c r="Q17" s="11"/>
      <c r="R17" s="11"/>
      <c r="S17" s="11">
        <v>-3000</v>
      </c>
      <c r="T17" s="11"/>
      <c r="U17" s="11"/>
      <c r="V17" s="11"/>
      <c r="W17" s="11"/>
      <c r="X17" s="11"/>
      <c r="Y17" s="11"/>
      <c r="Z17" s="11"/>
      <c r="AA17" s="11"/>
      <c r="AB17" s="11">
        <f t="shared" si="1"/>
        <v>-3000</v>
      </c>
    </row>
    <row r="18" spans="2:29" x14ac:dyDescent="0.3">
      <c r="B18" s="8" t="s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>
        <f t="shared" si="1"/>
        <v>0</v>
      </c>
    </row>
    <row r="19" spans="2:29" x14ac:dyDescent="0.3">
      <c r="B19" s="15" t="s">
        <v>8</v>
      </c>
      <c r="C19" s="16">
        <v>-3450</v>
      </c>
      <c r="D19" s="16">
        <v>-15849</v>
      </c>
      <c r="E19" s="16">
        <v>-4527</v>
      </c>
      <c r="F19" s="16">
        <v>-815</v>
      </c>
      <c r="G19" s="16">
        <v>-815</v>
      </c>
      <c r="H19" s="16">
        <v>-1618</v>
      </c>
      <c r="I19" s="16">
        <v>-6776</v>
      </c>
      <c r="J19" s="16">
        <v>-9632</v>
      </c>
      <c r="K19" s="16">
        <v>-85499</v>
      </c>
      <c r="L19" s="16">
        <v>-3174</v>
      </c>
      <c r="M19" s="16">
        <v>-11075</v>
      </c>
      <c r="N19" s="16">
        <v>-22943</v>
      </c>
      <c r="O19" s="16">
        <v>-142347</v>
      </c>
      <c r="P19" s="25">
        <f>P8+P13+P15+P18</f>
        <v>-1304</v>
      </c>
      <c r="Q19" s="25">
        <f t="shared" ref="Q19:AA19" si="5">Q8+Q13+Q15+Q18</f>
        <v>-1304</v>
      </c>
      <c r="R19" s="25">
        <f t="shared" si="5"/>
        <v>-1304</v>
      </c>
      <c r="S19" s="25">
        <f t="shared" si="5"/>
        <v>-4304</v>
      </c>
      <c r="T19" s="25">
        <f t="shared" si="5"/>
        <v>-9500</v>
      </c>
      <c r="U19" s="25">
        <f t="shared" si="5"/>
        <v>-93000</v>
      </c>
      <c r="V19" s="25">
        <f t="shared" si="5"/>
        <v>-5000</v>
      </c>
      <c r="W19" s="25">
        <f t="shared" si="5"/>
        <v>-10000</v>
      </c>
      <c r="X19" s="25">
        <f t="shared" si="5"/>
        <v>-28500</v>
      </c>
      <c r="Y19" s="25">
        <f t="shared" si="5"/>
        <v>-17257</v>
      </c>
      <c r="Z19" s="25">
        <f t="shared" si="5"/>
        <v>0</v>
      </c>
      <c r="AA19" s="25">
        <f t="shared" si="5"/>
        <v>-2703</v>
      </c>
      <c r="AB19" s="25">
        <f t="shared" si="1"/>
        <v>-174176</v>
      </c>
    </row>
    <row r="20" spans="2:29" x14ac:dyDescent="0.3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2:29" x14ac:dyDescent="0.3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spans="2:29" ht="21" x14ac:dyDescent="0.4">
      <c r="B22" s="6" t="s">
        <v>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>
        <f t="shared" si="1"/>
        <v>0</v>
      </c>
    </row>
    <row r="23" spans="2:29" collapsed="1" x14ac:dyDescent="0.3">
      <c r="B23" s="8" t="s">
        <v>10</v>
      </c>
      <c r="C23" s="9">
        <v>4933.03</v>
      </c>
      <c r="D23" s="9">
        <v>0</v>
      </c>
      <c r="E23" s="9">
        <v>2161</v>
      </c>
      <c r="F23" s="9">
        <v>0</v>
      </c>
      <c r="G23" s="9">
        <v>0</v>
      </c>
      <c r="H23" s="9">
        <v>0</v>
      </c>
      <c r="I23" s="9">
        <v>3000</v>
      </c>
      <c r="J23" s="9">
        <v>6818</v>
      </c>
      <c r="K23" s="9">
        <v>23580</v>
      </c>
      <c r="L23" s="9">
        <v>0</v>
      </c>
      <c r="M23" s="9">
        <v>2518</v>
      </c>
      <c r="N23" s="9">
        <v>1462.5</v>
      </c>
      <c r="O23" s="9">
        <v>44472.53</v>
      </c>
      <c r="P23" s="24">
        <f>SUM(P24:P28)</f>
        <v>0</v>
      </c>
      <c r="Q23" s="24">
        <f t="shared" ref="Q23:AA23" si="6">SUM(Q24:Q28)</f>
        <v>0</v>
      </c>
      <c r="R23" s="24">
        <f t="shared" si="6"/>
        <v>0</v>
      </c>
      <c r="S23" s="24">
        <f t="shared" si="6"/>
        <v>3000</v>
      </c>
      <c r="T23" s="24">
        <f t="shared" si="6"/>
        <v>7250</v>
      </c>
      <c r="U23" s="24">
        <f t="shared" si="6"/>
        <v>25000</v>
      </c>
      <c r="V23" s="24">
        <f t="shared" si="6"/>
        <v>0</v>
      </c>
      <c r="W23" s="24">
        <f t="shared" si="6"/>
        <v>3000</v>
      </c>
      <c r="X23" s="24">
        <f t="shared" si="6"/>
        <v>1500</v>
      </c>
      <c r="Y23" s="24">
        <f t="shared" si="6"/>
        <v>0</v>
      </c>
      <c r="Z23" s="24">
        <f t="shared" si="6"/>
        <v>0</v>
      </c>
      <c r="AA23" s="24">
        <f t="shared" si="6"/>
        <v>0</v>
      </c>
      <c r="AB23" s="24">
        <f t="shared" si="1"/>
        <v>39750</v>
      </c>
    </row>
    <row r="24" spans="2:29" outlineLevel="1" x14ac:dyDescent="0.3">
      <c r="B24" s="10" t="str">
        <f>"4130"&amp;" - "&amp;"Varekjøp Kiosk"</f>
        <v>4130 - Varekjøp Kiosk</v>
      </c>
      <c r="C24" s="11"/>
      <c r="D24" s="11"/>
      <c r="E24" s="11">
        <v>2161</v>
      </c>
      <c r="F24" s="11"/>
      <c r="G24" s="11"/>
      <c r="H24" s="11"/>
      <c r="I24" s="11"/>
      <c r="J24" s="11"/>
      <c r="K24" s="11"/>
      <c r="L24" s="11"/>
      <c r="M24" s="11"/>
      <c r="N24" s="11"/>
      <c r="O24" s="11">
        <v>2161</v>
      </c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>
        <f t="shared" si="1"/>
        <v>0</v>
      </c>
    </row>
    <row r="25" spans="2:29" outlineLevel="1" x14ac:dyDescent="0.3">
      <c r="B25" s="10" t="s">
        <v>54</v>
      </c>
      <c r="C25" s="11">
        <v>1933.03</v>
      </c>
      <c r="D25" s="11">
        <v>0</v>
      </c>
      <c r="E25" s="11">
        <v>0</v>
      </c>
      <c r="F25" s="11"/>
      <c r="G25" s="11"/>
      <c r="H25" s="11"/>
      <c r="I25" s="11"/>
      <c r="J25" s="11">
        <v>2568</v>
      </c>
      <c r="K25" s="11"/>
      <c r="L25" s="11"/>
      <c r="M25" s="11"/>
      <c r="N25" s="11">
        <v>1462.5</v>
      </c>
      <c r="O25" s="11">
        <v>4030.5</v>
      </c>
      <c r="P25" s="11"/>
      <c r="Q25" s="11"/>
      <c r="R25" s="11"/>
      <c r="S25" s="11"/>
      <c r="T25" s="11">
        <v>3000</v>
      </c>
      <c r="U25" s="11"/>
      <c r="V25" s="11"/>
      <c r="W25" s="11"/>
      <c r="X25" s="11">
        <v>1500</v>
      </c>
      <c r="Y25" s="11"/>
      <c r="Z25" s="11"/>
      <c r="AA25" s="11"/>
      <c r="AB25" s="11">
        <f t="shared" si="1"/>
        <v>4500</v>
      </c>
    </row>
    <row r="26" spans="2:29" outlineLevel="1" collapsed="1" x14ac:dyDescent="0.3">
      <c r="B26" s="10" t="s">
        <v>163</v>
      </c>
      <c r="C26" s="11">
        <v>0</v>
      </c>
      <c r="D26" s="11">
        <v>0</v>
      </c>
      <c r="E26" s="11">
        <v>0</v>
      </c>
      <c r="F26" s="11"/>
      <c r="G26" s="11"/>
      <c r="H26" s="11"/>
      <c r="I26" s="11">
        <v>3000</v>
      </c>
      <c r="J26" s="11">
        <v>4250</v>
      </c>
      <c r="K26" s="11"/>
      <c r="L26" s="11"/>
      <c r="M26" s="11"/>
      <c r="N26" s="11"/>
      <c r="O26" s="11">
        <v>7250</v>
      </c>
      <c r="P26" s="11"/>
      <c r="Q26" s="11"/>
      <c r="R26" s="11"/>
      <c r="S26" s="11">
        <v>3000</v>
      </c>
      <c r="T26" s="11">
        <v>4250</v>
      </c>
      <c r="U26" s="11"/>
      <c r="V26" s="11"/>
      <c r="W26" s="11"/>
      <c r="X26" s="11"/>
      <c r="Y26" s="11"/>
      <c r="Z26" s="11"/>
      <c r="AA26" s="11"/>
      <c r="AB26" s="11">
        <f t="shared" si="1"/>
        <v>7250</v>
      </c>
    </row>
    <row r="27" spans="2:29" outlineLevel="1" collapsed="1" x14ac:dyDescent="0.3">
      <c r="B27" s="10" t="s">
        <v>164</v>
      </c>
      <c r="C27" s="11">
        <v>3000</v>
      </c>
      <c r="D27" s="11">
        <v>0</v>
      </c>
      <c r="E27" s="11">
        <v>0</v>
      </c>
      <c r="F27" s="11"/>
      <c r="G27" s="11"/>
      <c r="H27" s="11"/>
      <c r="I27" s="11"/>
      <c r="J27" s="11"/>
      <c r="K27" s="11">
        <v>23580</v>
      </c>
      <c r="L27" s="11"/>
      <c r="M27" s="11">
        <v>2518</v>
      </c>
      <c r="N27" s="11"/>
      <c r="O27" s="11">
        <v>26098</v>
      </c>
      <c r="P27" s="11"/>
      <c r="Q27" s="11"/>
      <c r="R27" s="11"/>
      <c r="S27" s="11"/>
      <c r="T27" s="11"/>
      <c r="U27" s="11">
        <v>25000</v>
      </c>
      <c r="V27" s="11"/>
      <c r="W27" s="11">
        <v>3000</v>
      </c>
      <c r="X27" s="11"/>
      <c r="Y27" s="11"/>
      <c r="Z27" s="11"/>
      <c r="AA27" s="11"/>
      <c r="AB27" s="11">
        <f t="shared" si="1"/>
        <v>28000</v>
      </c>
      <c r="AC27" s="67">
        <f>AB27</f>
        <v>28000</v>
      </c>
    </row>
    <row r="28" spans="2:29" outlineLevel="1" collapsed="1" x14ac:dyDescent="0.3">
      <c r="B28" s="10" t="s">
        <v>55</v>
      </c>
      <c r="C28" s="11">
        <v>0</v>
      </c>
      <c r="D28" s="11">
        <v>0</v>
      </c>
      <c r="E28" s="11">
        <v>0</v>
      </c>
      <c r="F28" s="11"/>
      <c r="G28" s="11"/>
      <c r="H28" s="11"/>
      <c r="I28" s="11"/>
      <c r="J28" s="11">
        <v>0</v>
      </c>
      <c r="K28" s="11"/>
      <c r="L28" s="11"/>
      <c r="M28" s="11"/>
      <c r="N28" s="11"/>
      <c r="O28" s="11">
        <v>0</v>
      </c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>
        <f t="shared" si="1"/>
        <v>0</v>
      </c>
    </row>
    <row r="29" spans="2:29" x14ac:dyDescent="0.3">
      <c r="B29" s="8" t="s">
        <v>11</v>
      </c>
      <c r="C29" s="9">
        <v>18500</v>
      </c>
      <c r="D29" s="9">
        <v>2000</v>
      </c>
      <c r="E29" s="9">
        <v>1352</v>
      </c>
      <c r="F29" s="9">
        <v>0</v>
      </c>
      <c r="G29" s="9">
        <v>2000</v>
      </c>
      <c r="H29" s="9">
        <v>1709</v>
      </c>
      <c r="I29" s="9">
        <v>0</v>
      </c>
      <c r="J29" s="9">
        <v>17625</v>
      </c>
      <c r="K29" s="9">
        <v>13425</v>
      </c>
      <c r="L29" s="9">
        <v>0</v>
      </c>
      <c r="M29" s="9">
        <v>0</v>
      </c>
      <c r="N29" s="9">
        <v>18459</v>
      </c>
      <c r="O29" s="9">
        <v>53218</v>
      </c>
      <c r="P29" s="24">
        <f>SUM(P30:P32)</f>
        <v>0</v>
      </c>
      <c r="Q29" s="24">
        <f t="shared" ref="Q29:AA29" si="7">SUM(Q30:Q32)</f>
        <v>0</v>
      </c>
      <c r="R29" s="24">
        <f t="shared" si="7"/>
        <v>9443</v>
      </c>
      <c r="S29" s="24">
        <f t="shared" si="7"/>
        <v>0</v>
      </c>
      <c r="T29" s="24">
        <f t="shared" si="7"/>
        <v>0</v>
      </c>
      <c r="U29" s="24">
        <f t="shared" si="7"/>
        <v>25443</v>
      </c>
      <c r="V29" s="24">
        <f t="shared" si="7"/>
        <v>12000</v>
      </c>
      <c r="W29" s="24">
        <f t="shared" si="7"/>
        <v>0</v>
      </c>
      <c r="X29" s="24">
        <f t="shared" si="7"/>
        <v>26443</v>
      </c>
      <c r="Y29" s="24">
        <f t="shared" si="7"/>
        <v>0</v>
      </c>
      <c r="Z29" s="24">
        <f t="shared" si="7"/>
        <v>0</v>
      </c>
      <c r="AA29" s="24">
        <f t="shared" si="7"/>
        <v>10943</v>
      </c>
      <c r="AB29" s="24">
        <f t="shared" si="1"/>
        <v>84272</v>
      </c>
    </row>
    <row r="30" spans="2:29" outlineLevel="1" x14ac:dyDescent="0.3">
      <c r="B30" s="10" t="s">
        <v>66</v>
      </c>
      <c r="C30" s="11">
        <v>18500</v>
      </c>
      <c r="D30" s="11">
        <v>2000</v>
      </c>
      <c r="E30" s="11">
        <v>0</v>
      </c>
      <c r="F30" s="11"/>
      <c r="G30" s="11">
        <v>2000</v>
      </c>
      <c r="H30" s="11"/>
      <c r="I30" s="11"/>
      <c r="J30" s="11">
        <v>17625</v>
      </c>
      <c r="K30" s="11">
        <v>11250</v>
      </c>
      <c r="L30" s="11"/>
      <c r="M30" s="11"/>
      <c r="N30" s="11">
        <v>16750</v>
      </c>
      <c r="O30" s="11">
        <v>47625</v>
      </c>
      <c r="P30" s="11"/>
      <c r="Q30" s="11"/>
      <c r="R30" s="11"/>
      <c r="S30" s="11"/>
      <c r="T30" s="11"/>
      <c r="U30" s="11">
        <v>15000</v>
      </c>
      <c r="V30" s="11">
        <v>12000</v>
      </c>
      <c r="W30" s="11"/>
      <c r="X30" s="11">
        <v>17000</v>
      </c>
      <c r="Y30" s="11"/>
      <c r="Z30" s="11"/>
      <c r="AA30" s="11"/>
      <c r="AB30" s="11">
        <f t="shared" si="1"/>
        <v>44000</v>
      </c>
    </row>
    <row r="31" spans="2:29" outlineLevel="1" collapsed="1" x14ac:dyDescent="0.3">
      <c r="B31" s="10" t="s">
        <v>165</v>
      </c>
      <c r="C31" s="11">
        <v>0</v>
      </c>
      <c r="D31" s="11">
        <v>0</v>
      </c>
      <c r="E31" s="11">
        <v>0</v>
      </c>
      <c r="F31" s="11"/>
      <c r="G31" s="11"/>
      <c r="H31" s="11">
        <v>1709</v>
      </c>
      <c r="I31" s="11"/>
      <c r="J31" s="11"/>
      <c r="K31" s="11">
        <v>1709</v>
      </c>
      <c r="L31" s="11"/>
      <c r="M31" s="11"/>
      <c r="N31" s="11">
        <v>1709</v>
      </c>
      <c r="O31" s="11">
        <v>5127</v>
      </c>
      <c r="P31" s="11"/>
      <c r="Q31" s="11"/>
      <c r="R31" s="66">
        <v>9443</v>
      </c>
      <c r="S31" s="11"/>
      <c r="T31" s="11"/>
      <c r="U31" s="66">
        <v>9443</v>
      </c>
      <c r="V31" s="11"/>
      <c r="W31" s="11"/>
      <c r="X31" s="66">
        <v>9443</v>
      </c>
      <c r="Y31" s="11"/>
      <c r="Z31" s="11"/>
      <c r="AA31" s="66">
        <v>9443</v>
      </c>
      <c r="AB31" s="66">
        <f t="shared" si="1"/>
        <v>37772</v>
      </c>
      <c r="AC31" s="67">
        <f>AB31</f>
        <v>37772</v>
      </c>
    </row>
    <row r="32" spans="2:29" outlineLevel="1" collapsed="1" x14ac:dyDescent="0.3">
      <c r="B32" s="10" t="s">
        <v>71</v>
      </c>
      <c r="C32" s="11">
        <v>0</v>
      </c>
      <c r="D32" s="11">
        <v>0</v>
      </c>
      <c r="E32" s="11">
        <v>1352</v>
      </c>
      <c r="F32" s="11"/>
      <c r="G32" s="11"/>
      <c r="H32" s="11"/>
      <c r="I32" s="11"/>
      <c r="J32" s="11">
        <v>0</v>
      </c>
      <c r="K32" s="11">
        <v>466</v>
      </c>
      <c r="L32" s="11"/>
      <c r="M32" s="11"/>
      <c r="N32" s="11"/>
      <c r="O32" s="11">
        <v>466</v>
      </c>
      <c r="P32" s="11"/>
      <c r="Q32" s="11"/>
      <c r="R32" s="11"/>
      <c r="S32" s="11"/>
      <c r="T32" s="11"/>
      <c r="U32" s="11">
        <v>1000</v>
      </c>
      <c r="V32" s="11"/>
      <c r="W32" s="11"/>
      <c r="X32" s="11"/>
      <c r="Y32" s="11"/>
      <c r="Z32" s="11"/>
      <c r="AA32" s="11">
        <v>1500</v>
      </c>
      <c r="AB32" s="11">
        <f t="shared" si="1"/>
        <v>2500</v>
      </c>
    </row>
    <row r="33" spans="2:29" x14ac:dyDescent="0.3">
      <c r="B33" s="8" t="s">
        <v>12</v>
      </c>
      <c r="C33" s="9">
        <v>1000</v>
      </c>
      <c r="D33" s="9">
        <v>0</v>
      </c>
      <c r="E33" s="9">
        <v>4695</v>
      </c>
      <c r="F33" s="9">
        <v>0</v>
      </c>
      <c r="G33" s="9">
        <v>0</v>
      </c>
      <c r="H33" s="9">
        <v>0</v>
      </c>
      <c r="I33" s="9">
        <v>7344</v>
      </c>
      <c r="J33" s="9">
        <v>939</v>
      </c>
      <c r="K33" s="9">
        <v>4608</v>
      </c>
      <c r="L33" s="9">
        <v>4695</v>
      </c>
      <c r="M33" s="9">
        <v>10762.5</v>
      </c>
      <c r="N33" s="9">
        <v>0</v>
      </c>
      <c r="O33" s="9">
        <v>28348.5</v>
      </c>
      <c r="P33" s="24">
        <f>SUM(P34:P39)</f>
        <v>0</v>
      </c>
      <c r="Q33" s="24">
        <f t="shared" ref="Q33:AA33" si="8">SUM(Q34:Q39)</f>
        <v>0</v>
      </c>
      <c r="R33" s="24">
        <f t="shared" si="8"/>
        <v>4695</v>
      </c>
      <c r="S33" s="24">
        <f t="shared" si="8"/>
        <v>3600</v>
      </c>
      <c r="T33" s="24">
        <f t="shared" si="8"/>
        <v>22300</v>
      </c>
      <c r="U33" s="24">
        <f t="shared" si="8"/>
        <v>4695</v>
      </c>
      <c r="V33" s="24">
        <f t="shared" si="8"/>
        <v>0</v>
      </c>
      <c r="W33" s="24">
        <f t="shared" si="8"/>
        <v>5000</v>
      </c>
      <c r="X33" s="24">
        <f t="shared" si="8"/>
        <v>4695</v>
      </c>
      <c r="Y33" s="24">
        <f t="shared" si="8"/>
        <v>0</v>
      </c>
      <c r="Z33" s="24">
        <f t="shared" si="8"/>
        <v>0</v>
      </c>
      <c r="AA33" s="24">
        <f t="shared" si="8"/>
        <v>4695</v>
      </c>
      <c r="AB33" s="24">
        <f t="shared" si="1"/>
        <v>49680</v>
      </c>
    </row>
    <row r="34" spans="2:29" outlineLevel="1" x14ac:dyDescent="0.3">
      <c r="B34" s="10" t="s">
        <v>76</v>
      </c>
      <c r="C34" s="11">
        <v>0</v>
      </c>
      <c r="D34" s="11">
        <v>0</v>
      </c>
      <c r="E34" s="11">
        <v>0</v>
      </c>
      <c r="F34" s="11"/>
      <c r="G34" s="11"/>
      <c r="H34" s="11"/>
      <c r="I34" s="11"/>
      <c r="J34" s="11"/>
      <c r="K34" s="11"/>
      <c r="L34" s="11"/>
      <c r="M34" s="11">
        <v>4950</v>
      </c>
      <c r="N34" s="11"/>
      <c r="O34" s="11">
        <v>4950</v>
      </c>
      <c r="P34" s="11"/>
      <c r="Q34" s="11"/>
      <c r="R34" s="11"/>
      <c r="S34" s="11"/>
      <c r="T34" s="11">
        <f>10*150+32*150</f>
        <v>6300</v>
      </c>
      <c r="U34" s="11"/>
      <c r="V34" s="11"/>
      <c r="W34" s="11"/>
      <c r="X34" s="11"/>
      <c r="Y34" s="11"/>
      <c r="Z34" s="11"/>
      <c r="AA34" s="11"/>
      <c r="AB34" s="11">
        <f t="shared" si="1"/>
        <v>6300</v>
      </c>
    </row>
    <row r="35" spans="2:29" outlineLevel="1" collapsed="1" x14ac:dyDescent="0.3">
      <c r="B35" s="10" t="s">
        <v>201</v>
      </c>
      <c r="C35" s="11">
        <v>0</v>
      </c>
      <c r="D35" s="11">
        <v>0</v>
      </c>
      <c r="E35" s="11">
        <v>4695</v>
      </c>
      <c r="F35" s="11"/>
      <c r="G35" s="11"/>
      <c r="H35" s="11"/>
      <c r="I35" s="11">
        <v>3756</v>
      </c>
      <c r="J35" s="11">
        <v>939</v>
      </c>
      <c r="K35" s="11"/>
      <c r="L35" s="11">
        <v>4695</v>
      </c>
      <c r="M35" s="11"/>
      <c r="N35" s="11"/>
      <c r="O35" s="11">
        <v>9390</v>
      </c>
      <c r="P35" s="11"/>
      <c r="Q35" s="11"/>
      <c r="R35" s="66">
        <v>4695</v>
      </c>
      <c r="S35" s="11"/>
      <c r="T35" s="11"/>
      <c r="U35" s="66">
        <v>4695</v>
      </c>
      <c r="V35" s="11"/>
      <c r="W35" s="11"/>
      <c r="X35" s="66">
        <v>4695</v>
      </c>
      <c r="Y35" s="11"/>
      <c r="Z35" s="11"/>
      <c r="AA35" s="66">
        <v>4695</v>
      </c>
      <c r="AB35" s="66">
        <f t="shared" si="1"/>
        <v>18780</v>
      </c>
      <c r="AC35" s="67">
        <f>AB35</f>
        <v>18780</v>
      </c>
    </row>
    <row r="36" spans="2:29" outlineLevel="1" collapsed="1" x14ac:dyDescent="0.3">
      <c r="B36" s="10" t="s">
        <v>88</v>
      </c>
      <c r="C36" s="11">
        <v>0</v>
      </c>
      <c r="D36" s="11">
        <v>0</v>
      </c>
      <c r="E36" s="11">
        <v>0</v>
      </c>
      <c r="F36" s="11"/>
      <c r="G36" s="11"/>
      <c r="H36" s="11"/>
      <c r="I36" s="11">
        <v>3588</v>
      </c>
      <c r="J36" s="11"/>
      <c r="K36" s="11">
        <v>1150.8</v>
      </c>
      <c r="L36" s="11"/>
      <c r="M36" s="11"/>
      <c r="N36" s="11"/>
      <c r="O36" s="11">
        <v>4738.8</v>
      </c>
      <c r="P36" s="11"/>
      <c r="Q36" s="11"/>
      <c r="R36" s="11"/>
      <c r="S36" s="11">
        <v>3600</v>
      </c>
      <c r="T36" s="11"/>
      <c r="U36" s="11"/>
      <c r="V36" s="11"/>
      <c r="W36" s="11"/>
      <c r="X36" s="11"/>
      <c r="Y36" s="11"/>
      <c r="Z36" s="11"/>
      <c r="AA36" s="11"/>
      <c r="AB36" s="11">
        <f t="shared" si="1"/>
        <v>3600</v>
      </c>
    </row>
    <row r="37" spans="2:29" outlineLevel="1" collapsed="1" x14ac:dyDescent="0.3">
      <c r="B37" s="10" t="s">
        <v>91</v>
      </c>
      <c r="C37" s="11">
        <v>0</v>
      </c>
      <c r="D37" s="11">
        <v>0</v>
      </c>
      <c r="E37" s="11">
        <v>0</v>
      </c>
      <c r="F37" s="11"/>
      <c r="G37" s="11"/>
      <c r="H37" s="11"/>
      <c r="I37" s="11"/>
      <c r="J37" s="11"/>
      <c r="K37" s="11">
        <v>3457.2</v>
      </c>
      <c r="L37" s="11"/>
      <c r="M37" s="11">
        <v>5812.5</v>
      </c>
      <c r="N37" s="11"/>
      <c r="O37" s="11">
        <v>9269.7000000000007</v>
      </c>
      <c r="P37" s="11"/>
      <c r="Q37" s="11"/>
      <c r="R37" s="11"/>
      <c r="S37" s="11"/>
      <c r="T37" s="11">
        <v>5000</v>
      </c>
      <c r="U37" s="11"/>
      <c r="V37" s="11"/>
      <c r="W37" s="11">
        <v>5000</v>
      </c>
      <c r="X37" s="11"/>
      <c r="Y37" s="11"/>
      <c r="Z37" s="11"/>
      <c r="AA37" s="11"/>
      <c r="AB37" s="11">
        <f t="shared" si="1"/>
        <v>10000</v>
      </c>
    </row>
    <row r="38" spans="2:29" outlineLevel="1" collapsed="1" x14ac:dyDescent="0.3">
      <c r="B38" s="10" t="s">
        <v>212</v>
      </c>
      <c r="C38" s="11">
        <v>0</v>
      </c>
      <c r="D38" s="11">
        <v>0</v>
      </c>
      <c r="E38" s="11">
        <v>0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>
        <v>11000</v>
      </c>
      <c r="U38" s="11"/>
      <c r="V38" s="11"/>
      <c r="W38" s="11"/>
      <c r="X38" s="11"/>
      <c r="Y38" s="11"/>
      <c r="Z38" s="11"/>
      <c r="AA38" s="11"/>
      <c r="AB38" s="11">
        <f t="shared" si="1"/>
        <v>11000</v>
      </c>
    </row>
    <row r="39" spans="2:29" outlineLevel="1" collapsed="1" x14ac:dyDescent="0.3">
      <c r="B39" s="10" t="s">
        <v>112</v>
      </c>
      <c r="C39" s="11">
        <v>1000</v>
      </c>
      <c r="D39" s="11">
        <v>0</v>
      </c>
      <c r="E39" s="11">
        <v>0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>
        <f t="shared" si="1"/>
        <v>0</v>
      </c>
    </row>
    <row r="40" spans="2:29" x14ac:dyDescent="0.3">
      <c r="B40" s="8" t="s">
        <v>13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>
        <f t="shared" si="1"/>
        <v>0</v>
      </c>
    </row>
    <row r="41" spans="2:29" x14ac:dyDescent="0.3">
      <c r="B41" s="8" t="s">
        <v>14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>
        <f t="shared" si="1"/>
        <v>0</v>
      </c>
    </row>
    <row r="42" spans="2:29" x14ac:dyDescent="0.3">
      <c r="B42" s="8" t="s">
        <v>15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>
        <f t="shared" si="1"/>
        <v>0</v>
      </c>
    </row>
    <row r="43" spans="2:29" x14ac:dyDescent="0.3">
      <c r="B43" s="8" t="s">
        <v>16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>
        <f t="shared" si="1"/>
        <v>0</v>
      </c>
    </row>
    <row r="44" spans="2:29" x14ac:dyDescent="0.3">
      <c r="B44" s="8" t="s">
        <v>5</v>
      </c>
      <c r="C44" s="9">
        <v>0</v>
      </c>
      <c r="D44" s="9"/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>
        <f t="shared" si="1"/>
        <v>0</v>
      </c>
    </row>
    <row r="45" spans="2:29" collapsed="1" x14ac:dyDescent="0.3">
      <c r="B45" s="8" t="s">
        <v>17</v>
      </c>
      <c r="C45" s="9">
        <v>56</v>
      </c>
      <c r="D45" s="9">
        <v>52</v>
      </c>
      <c r="E45" s="9">
        <v>54</v>
      </c>
      <c r="F45" s="9">
        <v>52</v>
      </c>
      <c r="G45" s="9">
        <v>50</v>
      </c>
      <c r="H45" s="9">
        <v>50</v>
      </c>
      <c r="I45" s="9">
        <v>50</v>
      </c>
      <c r="J45" s="9">
        <v>58</v>
      </c>
      <c r="K45" s="9">
        <v>108</v>
      </c>
      <c r="L45" s="9">
        <v>54</v>
      </c>
      <c r="M45" s="9">
        <v>100</v>
      </c>
      <c r="N45" s="9">
        <v>106</v>
      </c>
      <c r="O45" s="9">
        <v>628</v>
      </c>
      <c r="P45" s="24">
        <f>SUM(P46:P47)</f>
        <v>56</v>
      </c>
      <c r="Q45" s="24">
        <f t="shared" ref="Q45:AA45" si="9">SUM(Q46:Q47)</f>
        <v>56</v>
      </c>
      <c r="R45" s="24">
        <f t="shared" si="9"/>
        <v>56</v>
      </c>
      <c r="S45" s="24">
        <f t="shared" si="9"/>
        <v>56</v>
      </c>
      <c r="T45" s="24">
        <f t="shared" si="9"/>
        <v>56</v>
      </c>
      <c r="U45" s="24">
        <f t="shared" si="9"/>
        <v>106</v>
      </c>
      <c r="V45" s="24">
        <f t="shared" si="9"/>
        <v>106</v>
      </c>
      <c r="W45" s="24">
        <f t="shared" si="9"/>
        <v>106</v>
      </c>
      <c r="X45" s="24">
        <f t="shared" si="9"/>
        <v>106</v>
      </c>
      <c r="Y45" s="24">
        <f t="shared" si="9"/>
        <v>56</v>
      </c>
      <c r="Z45" s="24">
        <f t="shared" si="9"/>
        <v>56</v>
      </c>
      <c r="AA45" s="24">
        <f t="shared" si="9"/>
        <v>56</v>
      </c>
      <c r="AB45" s="24">
        <f t="shared" si="1"/>
        <v>872</v>
      </c>
    </row>
    <row r="46" spans="2:29" outlineLevel="1" x14ac:dyDescent="0.3">
      <c r="B46" s="10" t="s">
        <v>132</v>
      </c>
      <c r="C46" s="11">
        <v>56</v>
      </c>
      <c r="D46" s="11">
        <v>52</v>
      </c>
      <c r="E46" s="11">
        <v>54</v>
      </c>
      <c r="F46" s="11">
        <v>52</v>
      </c>
      <c r="G46" s="11">
        <v>50</v>
      </c>
      <c r="H46" s="11">
        <v>50</v>
      </c>
      <c r="I46" s="11">
        <v>50</v>
      </c>
      <c r="J46" s="11">
        <v>58</v>
      </c>
      <c r="K46" s="11">
        <v>108</v>
      </c>
      <c r="L46" s="11">
        <v>54</v>
      </c>
      <c r="M46" s="11">
        <v>100</v>
      </c>
      <c r="N46" s="11">
        <v>106</v>
      </c>
      <c r="O46" s="11">
        <v>628</v>
      </c>
      <c r="P46" s="11">
        <v>56</v>
      </c>
      <c r="Q46" s="11">
        <v>56</v>
      </c>
      <c r="R46" s="11">
        <v>56</v>
      </c>
      <c r="S46" s="11">
        <v>56</v>
      </c>
      <c r="T46" s="11">
        <v>56</v>
      </c>
      <c r="U46" s="11">
        <v>106</v>
      </c>
      <c r="V46" s="11">
        <v>106</v>
      </c>
      <c r="W46" s="11">
        <v>106</v>
      </c>
      <c r="X46" s="11">
        <v>106</v>
      </c>
      <c r="Y46" s="11">
        <v>56</v>
      </c>
      <c r="Z46" s="11">
        <v>56</v>
      </c>
      <c r="AA46" s="11">
        <v>56</v>
      </c>
      <c r="AB46" s="11">
        <f t="shared" si="1"/>
        <v>872</v>
      </c>
    </row>
    <row r="47" spans="2:29" outlineLevel="1" collapsed="1" x14ac:dyDescent="0.3">
      <c r="B47" s="10" t="s">
        <v>133</v>
      </c>
      <c r="C47" s="11">
        <v>0</v>
      </c>
      <c r="D47" s="11">
        <v>0</v>
      </c>
      <c r="E47" s="11">
        <v>0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>
        <f t="shared" si="1"/>
        <v>0</v>
      </c>
    </row>
    <row r="48" spans="2:29" x14ac:dyDescent="0.3">
      <c r="B48" s="68" t="s">
        <v>18</v>
      </c>
      <c r="C48" s="69">
        <v>24489.03</v>
      </c>
      <c r="D48" s="69">
        <v>2052</v>
      </c>
      <c r="E48" s="69">
        <v>8262</v>
      </c>
      <c r="F48" s="69">
        <v>52</v>
      </c>
      <c r="G48" s="69">
        <v>2050</v>
      </c>
      <c r="H48" s="69">
        <v>1759</v>
      </c>
      <c r="I48" s="69">
        <v>10394</v>
      </c>
      <c r="J48" s="69">
        <v>25440</v>
      </c>
      <c r="K48" s="69">
        <v>41721</v>
      </c>
      <c r="L48" s="69">
        <v>4749</v>
      </c>
      <c r="M48" s="69">
        <v>13380.5</v>
      </c>
      <c r="N48" s="69">
        <v>20027.5</v>
      </c>
      <c r="O48" s="69">
        <v>126667.03</v>
      </c>
      <c r="P48" s="70">
        <f>P23+P29+P33+P40+P41+P42+P43+P44+P45</f>
        <v>56</v>
      </c>
      <c r="Q48" s="70">
        <f t="shared" ref="Q48:AA48" si="10">Q23+Q29+Q33+Q40+Q41+Q42+Q43+Q44+Q45</f>
        <v>56</v>
      </c>
      <c r="R48" s="70">
        <f t="shared" si="10"/>
        <v>14194</v>
      </c>
      <c r="S48" s="70">
        <f t="shared" si="10"/>
        <v>6656</v>
      </c>
      <c r="T48" s="70">
        <f t="shared" si="10"/>
        <v>29606</v>
      </c>
      <c r="U48" s="70">
        <f t="shared" si="10"/>
        <v>55244</v>
      </c>
      <c r="V48" s="70">
        <f t="shared" si="10"/>
        <v>12106</v>
      </c>
      <c r="W48" s="70">
        <f t="shared" si="10"/>
        <v>8106</v>
      </c>
      <c r="X48" s="70">
        <f t="shared" si="10"/>
        <v>32744</v>
      </c>
      <c r="Y48" s="70">
        <f t="shared" si="10"/>
        <v>56</v>
      </c>
      <c r="Z48" s="70">
        <f t="shared" si="10"/>
        <v>56</v>
      </c>
      <c r="AA48" s="70">
        <f t="shared" si="10"/>
        <v>15694</v>
      </c>
      <c r="AB48" s="70">
        <f t="shared" si="1"/>
        <v>174574</v>
      </c>
      <c r="AC48" s="67">
        <f>AB27+AB31+AB35</f>
        <v>84552</v>
      </c>
    </row>
    <row r="49" spans="2:28" x14ac:dyDescent="0.3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>
        <f t="shared" si="1"/>
        <v>0</v>
      </c>
    </row>
    <row r="50" spans="2:28" x14ac:dyDescent="0.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>
        <f t="shared" si="1"/>
        <v>0</v>
      </c>
    </row>
    <row r="51" spans="2:28" x14ac:dyDescent="0.3">
      <c r="B51" s="8" t="s">
        <v>19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>
        <f t="shared" si="1"/>
        <v>0</v>
      </c>
    </row>
    <row r="52" spans="2:28" ht="16.2" thickBot="1" x14ac:dyDescent="0.35">
      <c r="B52" s="12" t="s">
        <v>20</v>
      </c>
      <c r="C52" s="13">
        <v>21039.03</v>
      </c>
      <c r="D52" s="13">
        <v>-13797</v>
      </c>
      <c r="E52" s="13">
        <v>3735</v>
      </c>
      <c r="F52" s="13">
        <v>-763</v>
      </c>
      <c r="G52" s="13">
        <v>1235</v>
      </c>
      <c r="H52" s="13">
        <v>141</v>
      </c>
      <c r="I52" s="13">
        <v>3618</v>
      </c>
      <c r="J52" s="13">
        <v>15808</v>
      </c>
      <c r="K52" s="13">
        <v>-43778</v>
      </c>
      <c r="L52" s="13">
        <v>1575</v>
      </c>
      <c r="M52" s="13">
        <v>2305.5</v>
      </c>
      <c r="N52" s="13">
        <v>-2915.5</v>
      </c>
      <c r="O52" s="13">
        <v>-22774</v>
      </c>
      <c r="P52" s="26">
        <f>P19+P48+P51</f>
        <v>-1248</v>
      </c>
      <c r="Q52" s="26">
        <f t="shared" ref="Q52:AA52" si="11">Q19+Q48+Q51</f>
        <v>-1248</v>
      </c>
      <c r="R52" s="26">
        <f t="shared" si="11"/>
        <v>12890</v>
      </c>
      <c r="S52" s="26">
        <f t="shared" si="11"/>
        <v>2352</v>
      </c>
      <c r="T52" s="26">
        <f t="shared" si="11"/>
        <v>20106</v>
      </c>
      <c r="U52" s="26">
        <f t="shared" si="11"/>
        <v>-37756</v>
      </c>
      <c r="V52" s="26">
        <f t="shared" si="11"/>
        <v>7106</v>
      </c>
      <c r="W52" s="26">
        <f t="shared" si="11"/>
        <v>-1894</v>
      </c>
      <c r="X52" s="26">
        <f t="shared" si="11"/>
        <v>4244</v>
      </c>
      <c r="Y52" s="26">
        <f t="shared" si="11"/>
        <v>-17201</v>
      </c>
      <c r="Z52" s="26">
        <f t="shared" si="11"/>
        <v>56</v>
      </c>
      <c r="AA52" s="26">
        <f t="shared" si="11"/>
        <v>12991</v>
      </c>
      <c r="AB52" s="26">
        <f t="shared" si="1"/>
        <v>398</v>
      </c>
    </row>
    <row r="53" spans="2:28" ht="15" thickTop="1" x14ac:dyDescent="0.3">
      <c r="AB53" s="71">
        <f>AB52/AB19</f>
        <v>-2.2850450119419438E-3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505A0-AFAE-497D-85A9-41E76279239E}">
  <dimension ref="B2:AB61"/>
  <sheetViews>
    <sheetView topLeftCell="B34" workbookViewId="0">
      <selection activeCell="P33" sqref="P33"/>
    </sheetView>
  </sheetViews>
  <sheetFormatPr baseColWidth="10" defaultRowHeight="14.4" outlineLevelRow="1" outlineLevelCol="1" x14ac:dyDescent="0.3"/>
  <cols>
    <col min="1" max="1" width="0" hidden="1" customWidth="1"/>
    <col min="2" max="2" width="50.5546875" bestFit="1" customWidth="1"/>
    <col min="3" max="3" width="9.33203125" hidden="1" customWidth="1" outlineLevel="1"/>
    <col min="4" max="4" width="8.88671875" hidden="1" customWidth="1" outlineLevel="1"/>
    <col min="5" max="5" width="10" hidden="1" customWidth="1" outlineLevel="1"/>
    <col min="6" max="6" width="9.33203125" hidden="1" customWidth="1" outlineLevel="1"/>
    <col min="7" max="8" width="8.88671875" hidden="1" customWidth="1" outlineLevel="1"/>
    <col min="9" max="9" width="8.109375" hidden="1" customWidth="1" outlineLevel="1"/>
    <col min="10" max="11" width="10" hidden="1" customWidth="1" outlineLevel="1"/>
    <col min="12" max="12" width="8.109375" hidden="1" customWidth="1" outlineLevel="1"/>
    <col min="13" max="13" width="10.44140625" hidden="1" customWidth="1" outlineLevel="1"/>
    <col min="14" max="14" width="8.5546875" hidden="1" customWidth="1" outlineLevel="1"/>
    <col min="15" max="15" width="10.88671875" customWidth="1" collapsed="1"/>
    <col min="16" max="27" width="10.88671875" customWidth="1" outlineLevel="1" collapsed="1"/>
    <col min="28" max="28" width="14.88671875" bestFit="1" customWidth="1"/>
  </cols>
  <sheetData>
    <row r="2" spans="2:28" ht="25.8" x14ac:dyDescent="0.5">
      <c r="B2" s="1" t="s">
        <v>0</v>
      </c>
    </row>
    <row r="4" spans="2:28" ht="15.6" x14ac:dyDescent="0.3">
      <c r="B4" s="2" t="s">
        <v>206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 t="s">
        <v>1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 t="s">
        <v>154</v>
      </c>
    </row>
    <row r="5" spans="2:28" ht="28.8" x14ac:dyDescent="0.3">
      <c r="B5" s="4"/>
      <c r="C5" s="14">
        <v>44470</v>
      </c>
      <c r="D5" s="14">
        <v>44501</v>
      </c>
      <c r="E5" s="14">
        <v>44531</v>
      </c>
      <c r="F5" s="14">
        <v>44562</v>
      </c>
      <c r="G5" s="14">
        <v>44593</v>
      </c>
      <c r="H5" s="14">
        <v>44621</v>
      </c>
      <c r="I5" s="14">
        <v>44652</v>
      </c>
      <c r="J5" s="14">
        <v>44682</v>
      </c>
      <c r="K5" s="14">
        <v>44713</v>
      </c>
      <c r="L5" s="14">
        <v>44743</v>
      </c>
      <c r="M5" s="14">
        <v>44774</v>
      </c>
      <c r="N5" s="14">
        <v>44805</v>
      </c>
      <c r="O5" s="14" t="s">
        <v>141</v>
      </c>
      <c r="P5" s="14" t="s">
        <v>142</v>
      </c>
      <c r="Q5" s="14" t="s">
        <v>143</v>
      </c>
      <c r="R5" s="14" t="s">
        <v>144</v>
      </c>
      <c r="S5" s="14" t="s">
        <v>145</v>
      </c>
      <c r="T5" s="14" t="s">
        <v>146</v>
      </c>
      <c r="U5" s="14" t="s">
        <v>147</v>
      </c>
      <c r="V5" s="14" t="s">
        <v>148</v>
      </c>
      <c r="W5" s="14" t="s">
        <v>149</v>
      </c>
      <c r="X5" s="14" t="s">
        <v>150</v>
      </c>
      <c r="Y5" s="14" t="s">
        <v>151</v>
      </c>
      <c r="Z5" s="14" t="s">
        <v>152</v>
      </c>
      <c r="AA5" s="14" t="s">
        <v>153</v>
      </c>
      <c r="AB5" s="14" t="s">
        <v>2</v>
      </c>
    </row>
    <row r="6" spans="2:28" x14ac:dyDescent="0.3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 ht="21" x14ac:dyDescent="0.4">
      <c r="B7" s="6" t="s">
        <v>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collapsed="1" x14ac:dyDescent="0.3">
      <c r="B8" s="8" t="s">
        <v>4</v>
      </c>
      <c r="C8" s="9">
        <v>-2625</v>
      </c>
      <c r="D8" s="9">
        <v>-15420</v>
      </c>
      <c r="E8" s="9">
        <v>-2107</v>
      </c>
      <c r="F8" s="9">
        <v>450</v>
      </c>
      <c r="G8" s="9">
        <v>-1550</v>
      </c>
      <c r="H8" s="9">
        <v>-32593.120000000003</v>
      </c>
      <c r="I8" s="9">
        <v>-3003.62</v>
      </c>
      <c r="J8" s="9">
        <v>-2200</v>
      </c>
      <c r="K8" s="9">
        <v>-23397</v>
      </c>
      <c r="L8" s="9">
        <v>-2150</v>
      </c>
      <c r="M8" s="9">
        <v>-5050</v>
      </c>
      <c r="N8" s="9">
        <v>-24216</v>
      </c>
      <c r="O8" s="9">
        <v>-113861.74</v>
      </c>
      <c r="P8" s="9">
        <f>SUM(P9:P15)</f>
        <v>0</v>
      </c>
      <c r="Q8" s="9">
        <f t="shared" ref="Q8:AA8" si="0">SUM(Q9:Q15)</f>
        <v>-36000</v>
      </c>
      <c r="R8" s="9">
        <f t="shared" si="0"/>
        <v>0</v>
      </c>
      <c r="S8" s="9">
        <f t="shared" si="0"/>
        <v>-17500</v>
      </c>
      <c r="T8" s="9">
        <f t="shared" si="0"/>
        <v>-1600</v>
      </c>
      <c r="U8" s="9">
        <f t="shared" si="0"/>
        <v>-20000</v>
      </c>
      <c r="V8" s="9">
        <f t="shared" si="0"/>
        <v>0</v>
      </c>
      <c r="W8" s="9">
        <f t="shared" si="0"/>
        <v>-713000</v>
      </c>
      <c r="X8" s="9">
        <f t="shared" si="0"/>
        <v>-19100</v>
      </c>
      <c r="Y8" s="9">
        <f t="shared" si="0"/>
        <v>-8000</v>
      </c>
      <c r="Z8" s="9">
        <f t="shared" si="0"/>
        <v>0</v>
      </c>
      <c r="AA8" s="9">
        <f t="shared" si="0"/>
        <v>-17162</v>
      </c>
      <c r="AB8" s="9">
        <f>SUM(P8:AA8)</f>
        <v>-832362</v>
      </c>
    </row>
    <row r="9" spans="2:28" outlineLevel="1" x14ac:dyDescent="0.3">
      <c r="B9" s="10" t="s">
        <v>23</v>
      </c>
      <c r="C9" s="11">
        <v>0</v>
      </c>
      <c r="D9" s="11">
        <v>-9420</v>
      </c>
      <c r="E9" s="11">
        <v>0</v>
      </c>
      <c r="F9" s="11"/>
      <c r="G9" s="11"/>
      <c r="H9" s="11"/>
      <c r="I9" s="11"/>
      <c r="J9" s="11"/>
      <c r="K9" s="11">
        <v>-20550</v>
      </c>
      <c r="L9" s="11">
        <v>0</v>
      </c>
      <c r="M9" s="11"/>
      <c r="N9" s="11"/>
      <c r="O9" s="11">
        <v>-29970</v>
      </c>
      <c r="P9" s="11"/>
      <c r="Q9" s="11"/>
      <c r="R9" s="11"/>
      <c r="S9" s="11">
        <v>-17500</v>
      </c>
      <c r="T9" s="11"/>
      <c r="U9" s="11">
        <v>-20000</v>
      </c>
      <c r="V9" s="11"/>
      <c r="W9" s="11"/>
      <c r="X9" s="11">
        <v>-17500</v>
      </c>
      <c r="Y9" s="11">
        <v>-8000</v>
      </c>
      <c r="Z9" s="11"/>
      <c r="AA9" s="11"/>
      <c r="AB9" s="11">
        <f t="shared" ref="AB9:AB60" si="1">SUM(P9:AA9)</f>
        <v>-63000</v>
      </c>
    </row>
    <row r="10" spans="2:28" outlineLevel="1" collapsed="1" x14ac:dyDescent="0.3">
      <c r="B10" s="10" t="s">
        <v>207</v>
      </c>
      <c r="C10" s="11">
        <v>0</v>
      </c>
      <c r="D10" s="11">
        <v>0</v>
      </c>
      <c r="E10" s="11">
        <v>0</v>
      </c>
      <c r="F10" s="11"/>
      <c r="G10" s="11"/>
      <c r="H10" s="11"/>
      <c r="I10" s="11"/>
      <c r="J10" s="11"/>
      <c r="K10" s="11"/>
      <c r="L10" s="11"/>
      <c r="M10" s="11"/>
      <c r="N10" s="11"/>
      <c r="O10" s="11">
        <v>0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>
        <f t="shared" si="1"/>
        <v>0</v>
      </c>
    </row>
    <row r="11" spans="2:28" outlineLevel="1" collapsed="1" x14ac:dyDescent="0.3">
      <c r="B11" s="10" t="s">
        <v>25</v>
      </c>
      <c r="C11" s="11">
        <v>0</v>
      </c>
      <c r="D11" s="11">
        <v>0</v>
      </c>
      <c r="E11" s="11">
        <v>-1857</v>
      </c>
      <c r="F11" s="11">
        <v>0</v>
      </c>
      <c r="G11" s="11"/>
      <c r="H11" s="11"/>
      <c r="I11" s="11"/>
      <c r="J11" s="11"/>
      <c r="K11" s="11"/>
      <c r="L11" s="11"/>
      <c r="M11" s="11"/>
      <c r="N11" s="11"/>
      <c r="O11" s="11">
        <v>-1857</v>
      </c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>
        <v>-2162</v>
      </c>
      <c r="AB11" s="11">
        <f t="shared" si="1"/>
        <v>-2162</v>
      </c>
    </row>
    <row r="12" spans="2:28" outlineLevel="1" collapsed="1" x14ac:dyDescent="0.3">
      <c r="B12" s="10" t="s">
        <v>173</v>
      </c>
      <c r="C12" s="11">
        <v>0</v>
      </c>
      <c r="D12" s="11">
        <v>0</v>
      </c>
      <c r="E12" s="11">
        <v>1500</v>
      </c>
      <c r="F12" s="11">
        <v>450</v>
      </c>
      <c r="G12" s="11"/>
      <c r="H12" s="11">
        <v>-24364</v>
      </c>
      <c r="I12" s="11">
        <v>-1186</v>
      </c>
      <c r="J12" s="11"/>
      <c r="K12" s="11">
        <v>-2372</v>
      </c>
      <c r="L12" s="11"/>
      <c r="M12" s="11"/>
      <c r="N12" s="11">
        <v>-386</v>
      </c>
      <c r="O12" s="11">
        <v>-26358</v>
      </c>
      <c r="P12" s="11"/>
      <c r="Q12" s="11">
        <v>-36000</v>
      </c>
      <c r="R12" s="11"/>
      <c r="S12" s="11"/>
      <c r="T12" s="11">
        <v>-1600</v>
      </c>
      <c r="U12" s="11"/>
      <c r="V12" s="11"/>
      <c r="W12" s="11"/>
      <c r="X12" s="11">
        <v>-1600</v>
      </c>
      <c r="Y12" s="11"/>
      <c r="Z12" s="11"/>
      <c r="AA12" s="11"/>
      <c r="AB12" s="11">
        <f t="shared" si="1"/>
        <v>-39200</v>
      </c>
    </row>
    <row r="13" spans="2:28" outlineLevel="1" collapsed="1" x14ac:dyDescent="0.3">
      <c r="B13" s="10" t="s">
        <v>160</v>
      </c>
      <c r="C13" s="11">
        <v>0</v>
      </c>
      <c r="D13" s="11">
        <v>0</v>
      </c>
      <c r="E13" s="11">
        <v>0</v>
      </c>
      <c r="F13" s="11"/>
      <c r="G13" s="11">
        <v>-1550</v>
      </c>
      <c r="H13" s="11"/>
      <c r="I13" s="11"/>
      <c r="J13" s="11"/>
      <c r="K13" s="11"/>
      <c r="L13" s="11"/>
      <c r="M13" s="11">
        <v>-4150</v>
      </c>
      <c r="N13" s="11">
        <v>-1300</v>
      </c>
      <c r="O13" s="11">
        <v>-7000</v>
      </c>
      <c r="P13" s="11"/>
      <c r="Q13" s="11"/>
      <c r="R13" s="11"/>
      <c r="S13" s="11"/>
      <c r="T13" s="11"/>
      <c r="U13" s="11"/>
      <c r="V13" s="11"/>
      <c r="W13" s="11">
        <v>-713000</v>
      </c>
      <c r="X13" s="11"/>
      <c r="Y13" s="11"/>
      <c r="Z13" s="11"/>
      <c r="AA13" s="11">
        <v>-15000</v>
      </c>
      <c r="AB13" s="11">
        <f t="shared" si="1"/>
        <v>-728000</v>
      </c>
    </row>
    <row r="14" spans="2:28" outlineLevel="1" collapsed="1" x14ac:dyDescent="0.3">
      <c r="B14" s="10" t="s">
        <v>208</v>
      </c>
      <c r="C14" s="11">
        <v>-2625</v>
      </c>
      <c r="D14" s="11">
        <v>-6000</v>
      </c>
      <c r="E14" s="11">
        <v>-1750</v>
      </c>
      <c r="F14" s="11"/>
      <c r="G14" s="11">
        <v>0</v>
      </c>
      <c r="H14" s="11">
        <v>-8229.1200000000008</v>
      </c>
      <c r="I14" s="11">
        <v>-1817.62</v>
      </c>
      <c r="J14" s="11">
        <v>-2200</v>
      </c>
      <c r="K14" s="11">
        <v>-475</v>
      </c>
      <c r="L14" s="11">
        <v>-2150</v>
      </c>
      <c r="M14" s="11">
        <v>-900</v>
      </c>
      <c r="N14" s="11">
        <v>-22530</v>
      </c>
      <c r="O14" s="11">
        <v>-48676.740000000005</v>
      </c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>
        <f t="shared" si="1"/>
        <v>0</v>
      </c>
    </row>
    <row r="15" spans="2:28" outlineLevel="1" collapsed="1" x14ac:dyDescent="0.3">
      <c r="B15" s="10" t="s">
        <v>174</v>
      </c>
      <c r="C15" s="11">
        <v>0</v>
      </c>
      <c r="D15" s="11">
        <v>0</v>
      </c>
      <c r="E15" s="11">
        <v>0</v>
      </c>
      <c r="F15" s="11"/>
      <c r="G15" s="11"/>
      <c r="H15" s="11"/>
      <c r="I15" s="11"/>
      <c r="J15" s="11"/>
      <c r="K15" s="11"/>
      <c r="L15" s="11"/>
      <c r="M15" s="11"/>
      <c r="N15" s="11"/>
      <c r="O15" s="11">
        <v>0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>
        <f t="shared" si="1"/>
        <v>0</v>
      </c>
    </row>
    <row r="16" spans="2:28" x14ac:dyDescent="0.3">
      <c r="B16" s="8" t="s">
        <v>5</v>
      </c>
      <c r="C16" s="9">
        <v>0</v>
      </c>
      <c r="D16" s="9">
        <v>-3644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-3644</v>
      </c>
      <c r="P16" s="9">
        <f>SUM(P17:P18)</f>
        <v>0</v>
      </c>
      <c r="Q16" s="9">
        <f t="shared" ref="Q16:AA16" si="2">SUM(Q17:Q18)</f>
        <v>0</v>
      </c>
      <c r="R16" s="9">
        <f t="shared" si="2"/>
        <v>0</v>
      </c>
      <c r="S16" s="9">
        <f t="shared" si="2"/>
        <v>0</v>
      </c>
      <c r="T16" s="9">
        <f t="shared" si="2"/>
        <v>0</v>
      </c>
      <c r="U16" s="9">
        <f t="shared" si="2"/>
        <v>0</v>
      </c>
      <c r="V16" s="9">
        <f t="shared" si="2"/>
        <v>0</v>
      </c>
      <c r="W16" s="9">
        <f t="shared" si="2"/>
        <v>0</v>
      </c>
      <c r="X16" s="9">
        <f t="shared" si="2"/>
        <v>0</v>
      </c>
      <c r="Y16" s="9">
        <f t="shared" si="2"/>
        <v>-5405</v>
      </c>
      <c r="Z16" s="9">
        <f t="shared" si="2"/>
        <v>0</v>
      </c>
      <c r="AA16" s="9">
        <f t="shared" si="2"/>
        <v>0</v>
      </c>
      <c r="AB16" s="9">
        <f t="shared" si="1"/>
        <v>-5405</v>
      </c>
    </row>
    <row r="17" spans="2:28" outlineLevel="1" x14ac:dyDescent="0.3">
      <c r="B17" s="10" t="s">
        <v>30</v>
      </c>
      <c r="C17" s="11">
        <v>0</v>
      </c>
      <c r="D17" s="11">
        <v>0</v>
      </c>
      <c r="E17" s="11">
        <v>0</v>
      </c>
      <c r="F17" s="11"/>
      <c r="G17" s="11"/>
      <c r="H17" s="11"/>
      <c r="I17" s="11"/>
      <c r="J17" s="11"/>
      <c r="K17" s="11"/>
      <c r="L17" s="11"/>
      <c r="M17" s="11"/>
      <c r="N17" s="11"/>
      <c r="O17" s="11">
        <v>0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>
        <f t="shared" si="1"/>
        <v>0</v>
      </c>
    </row>
    <row r="18" spans="2:28" outlineLevel="1" collapsed="1" x14ac:dyDescent="0.3">
      <c r="B18" s="10" t="s">
        <v>32</v>
      </c>
      <c r="C18" s="11">
        <v>0</v>
      </c>
      <c r="D18" s="11">
        <v>-3644</v>
      </c>
      <c r="E18" s="11">
        <v>0</v>
      </c>
      <c r="F18" s="11"/>
      <c r="G18" s="11"/>
      <c r="H18" s="11"/>
      <c r="I18" s="11"/>
      <c r="J18" s="11"/>
      <c r="K18" s="11"/>
      <c r="L18" s="11"/>
      <c r="M18" s="11"/>
      <c r="N18" s="11"/>
      <c r="O18" s="11">
        <v>-3644</v>
      </c>
      <c r="P18" s="11"/>
      <c r="Q18" s="11"/>
      <c r="R18" s="11"/>
      <c r="S18" s="11"/>
      <c r="T18" s="11"/>
      <c r="U18" s="11"/>
      <c r="V18" s="11"/>
      <c r="W18" s="11"/>
      <c r="X18" s="11"/>
      <c r="Y18" s="11">
        <v>-5405</v>
      </c>
      <c r="Z18" s="11"/>
      <c r="AA18" s="11"/>
      <c r="AB18" s="11">
        <f t="shared" si="1"/>
        <v>-5405</v>
      </c>
    </row>
    <row r="19" spans="2:28" x14ac:dyDescent="0.3">
      <c r="B19" s="8" t="s">
        <v>6</v>
      </c>
      <c r="C19" s="9">
        <v>-30000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-30000</v>
      </c>
      <c r="P19" s="9">
        <f>P20</f>
        <v>0</v>
      </c>
      <c r="Q19" s="9">
        <f t="shared" ref="Q19:AA19" si="3">Q20</f>
        <v>0</v>
      </c>
      <c r="R19" s="9">
        <f t="shared" si="3"/>
        <v>0</v>
      </c>
      <c r="S19" s="9">
        <f t="shared" si="3"/>
        <v>0</v>
      </c>
      <c r="T19" s="9">
        <f t="shared" si="3"/>
        <v>0</v>
      </c>
      <c r="U19" s="9">
        <f t="shared" si="3"/>
        <v>0</v>
      </c>
      <c r="V19" s="9">
        <f t="shared" si="3"/>
        <v>0</v>
      </c>
      <c r="W19" s="9">
        <f t="shared" si="3"/>
        <v>0</v>
      </c>
      <c r="X19" s="9">
        <f t="shared" si="3"/>
        <v>0</v>
      </c>
      <c r="Y19" s="9">
        <f t="shared" si="3"/>
        <v>0</v>
      </c>
      <c r="Z19" s="9">
        <f t="shared" si="3"/>
        <v>0</v>
      </c>
      <c r="AA19" s="9">
        <f t="shared" si="3"/>
        <v>0</v>
      </c>
      <c r="AB19" s="9">
        <f t="shared" si="1"/>
        <v>0</v>
      </c>
    </row>
    <row r="20" spans="2:28" outlineLevel="1" collapsed="1" x14ac:dyDescent="0.3">
      <c r="B20" s="10" t="str">
        <f>"3620"&amp;" - "&amp;"Annen leieinntekt"</f>
        <v>3620 - Annen leieinntekt</v>
      </c>
      <c r="C20" s="11">
        <v>-30000</v>
      </c>
      <c r="D20" s="11">
        <v>0</v>
      </c>
      <c r="E20" s="11">
        <v>0</v>
      </c>
      <c r="F20" s="11"/>
      <c r="G20" s="11"/>
      <c r="H20" s="11"/>
      <c r="I20" s="11"/>
      <c r="J20" s="11"/>
      <c r="K20" s="11"/>
      <c r="L20" s="11"/>
      <c r="M20" s="11"/>
      <c r="N20" s="11"/>
      <c r="O20" s="11">
        <v>-30000</v>
      </c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>
        <f t="shared" si="1"/>
        <v>0</v>
      </c>
    </row>
    <row r="21" spans="2:28" x14ac:dyDescent="0.3">
      <c r="B21" s="8" t="s">
        <v>7</v>
      </c>
      <c r="C21" s="9">
        <v>-13500</v>
      </c>
      <c r="D21" s="9">
        <v>0</v>
      </c>
      <c r="E21" s="9">
        <v>-38965</v>
      </c>
      <c r="F21" s="9">
        <v>0</v>
      </c>
      <c r="G21" s="9">
        <v>0</v>
      </c>
      <c r="H21" s="9">
        <v>0</v>
      </c>
      <c r="I21" s="9">
        <v>0</v>
      </c>
      <c r="J21" s="9">
        <v>-33220</v>
      </c>
      <c r="K21" s="9">
        <v>-4000</v>
      </c>
      <c r="L21" s="9">
        <v>0</v>
      </c>
      <c r="M21" s="9">
        <v>0</v>
      </c>
      <c r="N21" s="9">
        <v>0</v>
      </c>
      <c r="O21" s="9">
        <v>-89685</v>
      </c>
      <c r="P21" s="9">
        <f>SUM(P22:P23)</f>
        <v>0</v>
      </c>
      <c r="Q21" s="9">
        <f t="shared" ref="Q21:AA21" si="4">SUM(Q22:Q23)</f>
        <v>0</v>
      </c>
      <c r="R21" s="9">
        <f t="shared" si="4"/>
        <v>0</v>
      </c>
      <c r="S21" s="9">
        <f t="shared" si="4"/>
        <v>0</v>
      </c>
      <c r="T21" s="9">
        <f t="shared" si="4"/>
        <v>0</v>
      </c>
      <c r="U21" s="9">
        <f t="shared" si="4"/>
        <v>0</v>
      </c>
      <c r="V21" s="9">
        <f t="shared" si="4"/>
        <v>0</v>
      </c>
      <c r="W21" s="9">
        <f t="shared" si="4"/>
        <v>0</v>
      </c>
      <c r="X21" s="9">
        <f t="shared" si="4"/>
        <v>0</v>
      </c>
      <c r="Y21" s="9">
        <f t="shared" si="4"/>
        <v>0</v>
      </c>
      <c r="Z21" s="9">
        <f t="shared" si="4"/>
        <v>0</v>
      </c>
      <c r="AA21" s="9">
        <f t="shared" si="4"/>
        <v>0</v>
      </c>
      <c r="AB21" s="9">
        <f t="shared" si="1"/>
        <v>0</v>
      </c>
    </row>
    <row r="22" spans="2:28" outlineLevel="1" x14ac:dyDescent="0.3">
      <c r="B22" s="10" t="s">
        <v>161</v>
      </c>
      <c r="C22" s="11">
        <v>0</v>
      </c>
      <c r="D22" s="11">
        <v>0</v>
      </c>
      <c r="E22" s="11">
        <v>0</v>
      </c>
      <c r="F22" s="11"/>
      <c r="G22" s="11"/>
      <c r="H22" s="11"/>
      <c r="I22" s="11"/>
      <c r="J22" s="11"/>
      <c r="K22" s="11">
        <v>-4000</v>
      </c>
      <c r="L22" s="11"/>
      <c r="M22" s="11"/>
      <c r="N22" s="11"/>
      <c r="O22" s="11">
        <v>-4000</v>
      </c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>
        <f t="shared" si="1"/>
        <v>0</v>
      </c>
    </row>
    <row r="23" spans="2:28" outlineLevel="1" collapsed="1" x14ac:dyDescent="0.3">
      <c r="B23" s="10" t="s">
        <v>42</v>
      </c>
      <c r="C23" s="11">
        <v>-13500</v>
      </c>
      <c r="D23" s="11">
        <v>0</v>
      </c>
      <c r="E23" s="11">
        <v>-38965</v>
      </c>
      <c r="F23" s="11"/>
      <c r="G23" s="11"/>
      <c r="H23" s="11"/>
      <c r="I23" s="11"/>
      <c r="J23" s="11">
        <v>-33220</v>
      </c>
      <c r="K23" s="11"/>
      <c r="L23" s="11"/>
      <c r="M23" s="11"/>
      <c r="N23" s="11"/>
      <c r="O23" s="11">
        <v>-85685</v>
      </c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>
        <f t="shared" si="1"/>
        <v>0</v>
      </c>
    </row>
    <row r="24" spans="2:28" x14ac:dyDescent="0.3">
      <c r="B24" s="15" t="s">
        <v>8</v>
      </c>
      <c r="C24" s="16">
        <v>-46125</v>
      </c>
      <c r="D24" s="16">
        <v>-19064</v>
      </c>
      <c r="E24" s="16">
        <v>-41072</v>
      </c>
      <c r="F24" s="16">
        <v>450</v>
      </c>
      <c r="G24" s="16">
        <v>-1550</v>
      </c>
      <c r="H24" s="16">
        <v>-32593.120000000003</v>
      </c>
      <c r="I24" s="16">
        <v>-3003.62</v>
      </c>
      <c r="J24" s="16">
        <v>-35420</v>
      </c>
      <c r="K24" s="16">
        <v>-27397</v>
      </c>
      <c r="L24" s="16">
        <v>-2150</v>
      </c>
      <c r="M24" s="16">
        <v>-5050</v>
      </c>
      <c r="N24" s="16">
        <v>-24216</v>
      </c>
      <c r="O24" s="16">
        <v>-237190.74</v>
      </c>
      <c r="P24" s="16">
        <f>P8+P16+P19+P21</f>
        <v>0</v>
      </c>
      <c r="Q24" s="16">
        <f t="shared" ref="Q24:AA24" si="5">Q8+Q16+Q19+Q21</f>
        <v>-36000</v>
      </c>
      <c r="R24" s="16">
        <f t="shared" si="5"/>
        <v>0</v>
      </c>
      <c r="S24" s="16">
        <f t="shared" si="5"/>
        <v>-17500</v>
      </c>
      <c r="T24" s="16">
        <f t="shared" si="5"/>
        <v>-1600</v>
      </c>
      <c r="U24" s="16">
        <f t="shared" si="5"/>
        <v>-20000</v>
      </c>
      <c r="V24" s="16">
        <f t="shared" si="5"/>
        <v>0</v>
      </c>
      <c r="W24" s="16">
        <f t="shared" si="5"/>
        <v>-713000</v>
      </c>
      <c r="X24" s="16">
        <f t="shared" si="5"/>
        <v>-19100</v>
      </c>
      <c r="Y24" s="16">
        <f t="shared" si="5"/>
        <v>-13405</v>
      </c>
      <c r="Z24" s="16">
        <f t="shared" si="5"/>
        <v>0</v>
      </c>
      <c r="AA24" s="16">
        <f t="shared" si="5"/>
        <v>-17162</v>
      </c>
      <c r="AB24" s="16">
        <f t="shared" si="1"/>
        <v>-837767</v>
      </c>
    </row>
    <row r="25" spans="2:28" x14ac:dyDescent="0.3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2:28" x14ac:dyDescent="0.3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2:28" ht="21" x14ac:dyDescent="0.4">
      <c r="B27" s="6" t="s">
        <v>9</v>
      </c>
      <c r="C27" s="7">
        <v>0</v>
      </c>
      <c r="D27" s="7">
        <v>0</v>
      </c>
      <c r="E27" s="7">
        <v>0</v>
      </c>
      <c r="F27" s="7"/>
      <c r="G27" s="7"/>
      <c r="H27" s="7"/>
      <c r="I27" s="7"/>
      <c r="J27" s="7"/>
      <c r="K27" s="7"/>
      <c r="L27" s="7"/>
      <c r="M27" s="7"/>
      <c r="N27" s="7"/>
      <c r="O27" s="7">
        <v>0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>
        <f t="shared" si="1"/>
        <v>0</v>
      </c>
    </row>
    <row r="28" spans="2:28" collapsed="1" x14ac:dyDescent="0.3">
      <c r="B28" s="8" t="s">
        <v>10</v>
      </c>
      <c r="C28" s="9">
        <v>50294</v>
      </c>
      <c r="D28" s="9">
        <v>10400</v>
      </c>
      <c r="E28" s="9">
        <v>5039</v>
      </c>
      <c r="F28" s="9">
        <v>12622</v>
      </c>
      <c r="G28" s="9">
        <v>0</v>
      </c>
      <c r="H28" s="9">
        <v>24906</v>
      </c>
      <c r="I28" s="9">
        <v>8106.5</v>
      </c>
      <c r="J28" s="9">
        <v>2000</v>
      </c>
      <c r="K28" s="9">
        <v>8267</v>
      </c>
      <c r="L28" s="9">
        <v>5765</v>
      </c>
      <c r="M28" s="9">
        <v>84550</v>
      </c>
      <c r="N28" s="9">
        <v>23023.7</v>
      </c>
      <c r="O28" s="9">
        <v>234973.2</v>
      </c>
      <c r="P28" s="9">
        <f>SUM(P29:P33)</f>
        <v>202000</v>
      </c>
      <c r="Q28" s="9">
        <f t="shared" ref="Q28:AA28" si="6">SUM(Q29:Q33)</f>
        <v>500</v>
      </c>
      <c r="R28" s="9">
        <f t="shared" si="6"/>
        <v>4500</v>
      </c>
      <c r="S28" s="9">
        <f t="shared" si="6"/>
        <v>2000</v>
      </c>
      <c r="T28" s="9">
        <f t="shared" si="6"/>
        <v>500</v>
      </c>
      <c r="U28" s="9">
        <f t="shared" si="6"/>
        <v>497500</v>
      </c>
      <c r="V28" s="9">
        <f t="shared" si="6"/>
        <v>0</v>
      </c>
      <c r="W28" s="9">
        <f t="shared" si="6"/>
        <v>3000</v>
      </c>
      <c r="X28" s="9">
        <f t="shared" si="6"/>
        <v>5000</v>
      </c>
      <c r="Y28" s="9">
        <f t="shared" si="6"/>
        <v>5000</v>
      </c>
      <c r="Z28" s="9">
        <f t="shared" si="6"/>
        <v>500</v>
      </c>
      <c r="AA28" s="9">
        <f t="shared" si="6"/>
        <v>11000</v>
      </c>
      <c r="AB28" s="9">
        <f t="shared" si="1"/>
        <v>731500</v>
      </c>
    </row>
    <row r="29" spans="2:28" outlineLevel="1" x14ac:dyDescent="0.3">
      <c r="B29" s="10" t="s">
        <v>51</v>
      </c>
      <c r="C29" s="11">
        <v>0</v>
      </c>
      <c r="D29" s="11">
        <v>0</v>
      </c>
      <c r="E29" s="11">
        <v>0</v>
      </c>
      <c r="F29" s="11"/>
      <c r="G29" s="11"/>
      <c r="H29" s="11"/>
      <c r="I29" s="11"/>
      <c r="J29" s="11"/>
      <c r="K29" s="11"/>
      <c r="L29" s="11"/>
      <c r="M29" s="11"/>
      <c r="N29" s="11">
        <v>1355.2</v>
      </c>
      <c r="O29" s="11">
        <v>1355.2</v>
      </c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>
        <f t="shared" si="1"/>
        <v>0</v>
      </c>
    </row>
    <row r="30" spans="2:28" outlineLevel="1" collapsed="1" x14ac:dyDescent="0.3">
      <c r="B30" s="10" t="s">
        <v>52</v>
      </c>
      <c r="C30" s="11">
        <v>3524</v>
      </c>
      <c r="D30" s="11">
        <v>0</v>
      </c>
      <c r="E30" s="11">
        <v>0</v>
      </c>
      <c r="F30" s="11"/>
      <c r="G30" s="11"/>
      <c r="H30" s="11"/>
      <c r="I30" s="11"/>
      <c r="J30" s="11"/>
      <c r="K30" s="11"/>
      <c r="L30" s="11">
        <v>4400</v>
      </c>
      <c r="M30" s="11"/>
      <c r="N30" s="11"/>
      <c r="O30" s="11">
        <v>7924</v>
      </c>
      <c r="P30" s="11"/>
      <c r="Q30" s="11"/>
      <c r="R30" s="11"/>
      <c r="S30" s="11"/>
      <c r="T30" s="11"/>
      <c r="U30" s="11">
        <v>10000</v>
      </c>
      <c r="V30" s="11"/>
      <c r="W30" s="11"/>
      <c r="X30" s="11"/>
      <c r="Y30" s="11"/>
      <c r="Z30" s="11"/>
      <c r="AA30" s="11"/>
      <c r="AB30" s="11">
        <f t="shared" si="1"/>
        <v>10000</v>
      </c>
    </row>
    <row r="31" spans="2:28" outlineLevel="1" collapsed="1" x14ac:dyDescent="0.3">
      <c r="B31" s="10" t="s">
        <v>54</v>
      </c>
      <c r="C31" s="11">
        <v>46770</v>
      </c>
      <c r="D31" s="11">
        <v>0</v>
      </c>
      <c r="E31" s="11">
        <v>5039</v>
      </c>
      <c r="F31" s="11">
        <v>12622</v>
      </c>
      <c r="G31" s="11"/>
      <c r="H31" s="11">
        <v>11446</v>
      </c>
      <c r="I31" s="11">
        <v>8106.5</v>
      </c>
      <c r="J31" s="11"/>
      <c r="K31" s="11">
        <v>2817</v>
      </c>
      <c r="L31" s="11">
        <v>1365</v>
      </c>
      <c r="M31" s="11">
        <v>75200</v>
      </c>
      <c r="N31" s="11">
        <v>13012.5</v>
      </c>
      <c r="O31" s="11">
        <v>176378</v>
      </c>
      <c r="P31" s="11">
        <v>2000</v>
      </c>
      <c r="Q31" s="11">
        <v>500</v>
      </c>
      <c r="R31" s="11">
        <v>500</v>
      </c>
      <c r="S31" s="11">
        <v>2000</v>
      </c>
      <c r="T31" s="11">
        <v>500</v>
      </c>
      <c r="U31" s="11"/>
      <c r="V31" s="11"/>
      <c r="W31" s="11">
        <v>500</v>
      </c>
      <c r="X31" s="11">
        <v>5000</v>
      </c>
      <c r="Y31" s="11">
        <v>5000</v>
      </c>
      <c r="Z31" s="11">
        <v>500</v>
      </c>
      <c r="AA31" s="11">
        <v>1000</v>
      </c>
      <c r="AB31" s="11">
        <f t="shared" si="1"/>
        <v>17500</v>
      </c>
    </row>
    <row r="32" spans="2:28" outlineLevel="1" collapsed="1" x14ac:dyDescent="0.3">
      <c r="B32" s="10" t="s">
        <v>163</v>
      </c>
      <c r="C32" s="11">
        <v>0</v>
      </c>
      <c r="D32" s="11">
        <v>10400</v>
      </c>
      <c r="E32" s="11">
        <v>0</v>
      </c>
      <c r="F32" s="11"/>
      <c r="G32" s="11"/>
      <c r="H32" s="11">
        <v>13460</v>
      </c>
      <c r="I32" s="11"/>
      <c r="J32" s="11">
        <v>2000</v>
      </c>
      <c r="K32" s="11">
        <v>2100</v>
      </c>
      <c r="L32" s="11"/>
      <c r="M32" s="11">
        <v>9350</v>
      </c>
      <c r="N32" s="11">
        <v>8656</v>
      </c>
      <c r="O32" s="11">
        <v>45966</v>
      </c>
      <c r="P32" s="11">
        <v>200000</v>
      </c>
      <c r="Q32" s="11"/>
      <c r="R32" s="11">
        <v>4000</v>
      </c>
      <c r="S32" s="11"/>
      <c r="T32" s="11"/>
      <c r="U32" s="11">
        <v>484000</v>
      </c>
      <c r="V32" s="11"/>
      <c r="W32" s="11">
        <v>2500</v>
      </c>
      <c r="X32" s="11"/>
      <c r="Y32" s="11"/>
      <c r="Z32" s="11"/>
      <c r="AA32" s="11">
        <v>10000</v>
      </c>
      <c r="AB32" s="11">
        <f t="shared" si="1"/>
        <v>700500</v>
      </c>
    </row>
    <row r="33" spans="2:28" outlineLevel="1" collapsed="1" x14ac:dyDescent="0.3">
      <c r="B33" s="10" t="s">
        <v>164</v>
      </c>
      <c r="C33" s="11">
        <v>0</v>
      </c>
      <c r="D33" s="11">
        <v>0</v>
      </c>
      <c r="E33" s="11">
        <v>0</v>
      </c>
      <c r="F33" s="11"/>
      <c r="G33" s="11"/>
      <c r="H33" s="11"/>
      <c r="I33" s="11"/>
      <c r="J33" s="11"/>
      <c r="K33" s="11">
        <v>3350</v>
      </c>
      <c r="L33" s="11"/>
      <c r="M33" s="11"/>
      <c r="N33" s="11"/>
      <c r="O33" s="11">
        <v>3350</v>
      </c>
      <c r="P33" s="11"/>
      <c r="Q33" s="11"/>
      <c r="R33" s="11"/>
      <c r="S33" s="11"/>
      <c r="T33" s="11"/>
      <c r="U33" s="11">
        <v>3500</v>
      </c>
      <c r="V33" s="11"/>
      <c r="W33" s="11"/>
      <c r="X33" s="11"/>
      <c r="Y33" s="11"/>
      <c r="Z33" s="11"/>
      <c r="AA33" s="11"/>
      <c r="AB33" s="11">
        <f t="shared" si="1"/>
        <v>3500</v>
      </c>
    </row>
    <row r="34" spans="2:28" x14ac:dyDescent="0.3">
      <c r="B34" s="8" t="s">
        <v>11</v>
      </c>
      <c r="C34" s="9">
        <v>322.8</v>
      </c>
      <c r="D34" s="9">
        <v>0</v>
      </c>
      <c r="E34" s="9">
        <v>2812</v>
      </c>
      <c r="F34" s="9">
        <v>1741.65</v>
      </c>
      <c r="G34" s="9">
        <v>0</v>
      </c>
      <c r="H34" s="9">
        <v>6001.2</v>
      </c>
      <c r="I34" s="9">
        <v>0</v>
      </c>
      <c r="J34" s="9">
        <v>0</v>
      </c>
      <c r="K34" s="9">
        <v>2515.5500000000002</v>
      </c>
      <c r="L34" s="9">
        <v>0</v>
      </c>
      <c r="M34" s="9">
        <v>2447.4</v>
      </c>
      <c r="N34" s="9">
        <v>1181</v>
      </c>
      <c r="O34" s="9">
        <v>17021.599999999999</v>
      </c>
      <c r="P34" s="9">
        <f>SUM(P35:P39)</f>
        <v>1000</v>
      </c>
      <c r="Q34" s="9">
        <f t="shared" ref="Q34:AA34" si="7">SUM(Q35:Q39)</f>
        <v>0</v>
      </c>
      <c r="R34" s="9">
        <f t="shared" si="7"/>
        <v>5581</v>
      </c>
      <c r="S34" s="9">
        <f t="shared" si="7"/>
        <v>3000</v>
      </c>
      <c r="T34" s="9">
        <f t="shared" si="7"/>
        <v>1000</v>
      </c>
      <c r="U34" s="9">
        <f t="shared" si="7"/>
        <v>6581</v>
      </c>
      <c r="V34" s="9">
        <f t="shared" si="7"/>
        <v>0</v>
      </c>
      <c r="W34" s="9">
        <f t="shared" si="7"/>
        <v>1000</v>
      </c>
      <c r="X34" s="9">
        <f t="shared" si="7"/>
        <v>10581</v>
      </c>
      <c r="Y34" s="9">
        <f t="shared" si="7"/>
        <v>0</v>
      </c>
      <c r="Z34" s="9">
        <f t="shared" si="7"/>
        <v>0</v>
      </c>
      <c r="AA34" s="9">
        <f t="shared" si="7"/>
        <v>8581</v>
      </c>
      <c r="AB34" s="9">
        <f t="shared" si="1"/>
        <v>37324</v>
      </c>
    </row>
    <row r="35" spans="2:28" outlineLevel="1" x14ac:dyDescent="0.3">
      <c r="B35" s="10" t="s">
        <v>66</v>
      </c>
      <c r="C35" s="11">
        <v>0</v>
      </c>
      <c r="D35" s="11">
        <v>0</v>
      </c>
      <c r="E35" s="11">
        <v>0</v>
      </c>
      <c r="F35" s="11"/>
      <c r="G35" s="11"/>
      <c r="H35" s="11">
        <v>500</v>
      </c>
      <c r="I35" s="11"/>
      <c r="J35" s="11"/>
      <c r="K35" s="11"/>
      <c r="L35" s="11"/>
      <c r="M35" s="11"/>
      <c r="N35" s="11"/>
      <c r="O35" s="11">
        <v>500</v>
      </c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>
        <f t="shared" si="1"/>
        <v>0</v>
      </c>
    </row>
    <row r="36" spans="2:28" outlineLevel="1" collapsed="1" x14ac:dyDescent="0.3">
      <c r="B36" s="10" t="s">
        <v>165</v>
      </c>
      <c r="C36" s="11">
        <v>0</v>
      </c>
      <c r="D36" s="11">
        <v>0</v>
      </c>
      <c r="E36" s="11">
        <v>1237</v>
      </c>
      <c r="F36" s="11"/>
      <c r="G36" s="11"/>
      <c r="H36" s="11">
        <v>1181</v>
      </c>
      <c r="I36" s="11"/>
      <c r="J36" s="11"/>
      <c r="K36" s="11">
        <v>1181</v>
      </c>
      <c r="L36" s="11"/>
      <c r="M36" s="11"/>
      <c r="N36" s="11">
        <v>1181</v>
      </c>
      <c r="O36" s="11">
        <v>4780</v>
      </c>
      <c r="P36" s="11"/>
      <c r="Q36" s="11"/>
      <c r="R36" s="11">
        <v>5581</v>
      </c>
      <c r="S36" s="11"/>
      <c r="T36" s="11"/>
      <c r="U36" s="11">
        <v>5581</v>
      </c>
      <c r="V36" s="11"/>
      <c r="W36" s="11"/>
      <c r="X36" s="11">
        <v>5581</v>
      </c>
      <c r="Y36" s="11"/>
      <c r="Z36" s="11"/>
      <c r="AA36" s="11">
        <v>5581</v>
      </c>
      <c r="AB36" s="11">
        <f t="shared" si="1"/>
        <v>22324</v>
      </c>
    </row>
    <row r="37" spans="2:28" outlineLevel="1" x14ac:dyDescent="0.3">
      <c r="B37" s="10" t="str">
        <f>"5900"&amp;" - "&amp;"Gave til ansatte"</f>
        <v>5900 - Gave til ansatte</v>
      </c>
      <c r="C37" s="11">
        <v>0</v>
      </c>
      <c r="D37" s="11">
        <v>0</v>
      </c>
      <c r="E37" s="11">
        <v>1575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>
        <f t="shared" si="1"/>
        <v>0</v>
      </c>
    </row>
    <row r="38" spans="2:28" outlineLevel="1" collapsed="1" x14ac:dyDescent="0.3">
      <c r="B38" s="10" t="s">
        <v>180</v>
      </c>
      <c r="C38" s="11">
        <v>0</v>
      </c>
      <c r="D38" s="11">
        <v>0</v>
      </c>
      <c r="E38" s="11">
        <v>0</v>
      </c>
      <c r="F38" s="11"/>
      <c r="G38" s="11"/>
      <c r="H38" s="11"/>
      <c r="I38" s="11"/>
      <c r="J38" s="11"/>
      <c r="K38" s="11"/>
      <c r="L38" s="11"/>
      <c r="M38" s="11"/>
      <c r="N38" s="11"/>
      <c r="O38" s="11">
        <v>0</v>
      </c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>
        <f t="shared" si="1"/>
        <v>0</v>
      </c>
    </row>
    <row r="39" spans="2:28" outlineLevel="1" collapsed="1" x14ac:dyDescent="0.3">
      <c r="B39" s="10" t="s">
        <v>71</v>
      </c>
      <c r="C39" s="11">
        <v>322.8</v>
      </c>
      <c r="D39" s="11">
        <v>0</v>
      </c>
      <c r="E39" s="11">
        <v>0</v>
      </c>
      <c r="F39" s="11">
        <v>1741.65</v>
      </c>
      <c r="G39" s="11"/>
      <c r="H39" s="11">
        <v>4320.2</v>
      </c>
      <c r="I39" s="11"/>
      <c r="J39" s="11"/>
      <c r="K39" s="11">
        <v>1334.55</v>
      </c>
      <c r="L39" s="11"/>
      <c r="M39" s="11">
        <v>2447.4</v>
      </c>
      <c r="N39" s="11"/>
      <c r="O39" s="11">
        <v>10166.6</v>
      </c>
      <c r="P39" s="11">
        <v>1000</v>
      </c>
      <c r="Q39" s="11"/>
      <c r="R39" s="11"/>
      <c r="S39" s="11">
        <v>3000</v>
      </c>
      <c r="T39" s="11">
        <v>1000</v>
      </c>
      <c r="U39" s="11">
        <v>1000</v>
      </c>
      <c r="V39" s="11"/>
      <c r="W39" s="11">
        <v>1000</v>
      </c>
      <c r="X39" s="11">
        <v>5000</v>
      </c>
      <c r="Y39" s="11"/>
      <c r="Z39" s="11"/>
      <c r="AA39" s="11">
        <v>3000</v>
      </c>
      <c r="AB39" s="11">
        <f t="shared" si="1"/>
        <v>15000</v>
      </c>
    </row>
    <row r="40" spans="2:28" x14ac:dyDescent="0.3">
      <c r="B40" s="8" t="s">
        <v>12</v>
      </c>
      <c r="C40" s="9">
        <v>0</v>
      </c>
      <c r="D40" s="9">
        <v>0</v>
      </c>
      <c r="E40" s="9">
        <v>655.9</v>
      </c>
      <c r="F40" s="9">
        <v>705.98</v>
      </c>
      <c r="G40" s="9">
        <v>0</v>
      </c>
      <c r="H40" s="9">
        <v>0</v>
      </c>
      <c r="I40" s="9">
        <v>0</v>
      </c>
      <c r="J40" s="9">
        <v>3160</v>
      </c>
      <c r="K40" s="9">
        <v>1499</v>
      </c>
      <c r="L40" s="9">
        <v>0</v>
      </c>
      <c r="M40" s="9">
        <v>23402</v>
      </c>
      <c r="N40" s="9">
        <v>8971.7099999999991</v>
      </c>
      <c r="O40" s="9">
        <v>38394.589999999997</v>
      </c>
      <c r="P40" s="9">
        <f>SUM(P41:P46)</f>
        <v>0</v>
      </c>
      <c r="Q40" s="9">
        <f t="shared" ref="Q40:AA40" si="8">SUM(Q41:Q46)</f>
        <v>0</v>
      </c>
      <c r="R40" s="9">
        <f t="shared" si="8"/>
        <v>1000</v>
      </c>
      <c r="S40" s="9">
        <f t="shared" si="8"/>
        <v>0</v>
      </c>
      <c r="T40" s="9">
        <f t="shared" si="8"/>
        <v>15000</v>
      </c>
      <c r="U40" s="9">
        <f t="shared" si="8"/>
        <v>1000</v>
      </c>
      <c r="V40" s="9">
        <f t="shared" si="8"/>
        <v>0</v>
      </c>
      <c r="W40" s="9">
        <f t="shared" si="8"/>
        <v>0</v>
      </c>
      <c r="X40" s="9">
        <f t="shared" si="8"/>
        <v>1000</v>
      </c>
      <c r="Y40" s="9">
        <f t="shared" si="8"/>
        <v>0</v>
      </c>
      <c r="Z40" s="9">
        <f t="shared" si="8"/>
        <v>1000</v>
      </c>
      <c r="AA40" s="9">
        <f t="shared" si="8"/>
        <v>15000</v>
      </c>
      <c r="AB40" s="9">
        <f t="shared" si="1"/>
        <v>34000</v>
      </c>
    </row>
    <row r="41" spans="2:28" outlineLevel="1" x14ac:dyDescent="0.3">
      <c r="B41" s="10" t="s">
        <v>76</v>
      </c>
      <c r="C41" s="11">
        <v>0</v>
      </c>
      <c r="D41" s="11">
        <v>0</v>
      </c>
      <c r="E41" s="11">
        <v>0</v>
      </c>
      <c r="F41" s="11"/>
      <c r="G41" s="11"/>
      <c r="H41" s="11"/>
      <c r="I41" s="11"/>
      <c r="J41" s="11"/>
      <c r="K41" s="11"/>
      <c r="L41" s="11"/>
      <c r="M41" s="11">
        <v>22800</v>
      </c>
      <c r="N41" s="11"/>
      <c r="O41" s="11">
        <v>22800</v>
      </c>
      <c r="P41" s="11"/>
      <c r="Q41" s="11"/>
      <c r="R41" s="11"/>
      <c r="S41" s="11"/>
      <c r="T41" s="11">
        <v>15000</v>
      </c>
      <c r="U41" s="11"/>
      <c r="V41" s="11"/>
      <c r="W41" s="11"/>
      <c r="X41" s="11"/>
      <c r="Y41" s="11"/>
      <c r="Z41" s="11"/>
      <c r="AA41" s="11">
        <v>15000</v>
      </c>
      <c r="AB41" s="11">
        <f t="shared" si="1"/>
        <v>30000</v>
      </c>
    </row>
    <row r="42" spans="2:28" outlineLevel="1" collapsed="1" x14ac:dyDescent="0.3">
      <c r="B42" s="10" t="s">
        <v>88</v>
      </c>
      <c r="C42" s="11">
        <v>0</v>
      </c>
      <c r="D42" s="11">
        <v>0</v>
      </c>
      <c r="E42" s="11">
        <v>0</v>
      </c>
      <c r="F42" s="11"/>
      <c r="G42" s="11"/>
      <c r="H42" s="11"/>
      <c r="I42" s="11"/>
      <c r="J42" s="11"/>
      <c r="K42" s="11">
        <v>1199</v>
      </c>
      <c r="L42" s="11"/>
      <c r="M42" s="11"/>
      <c r="N42" s="11">
        <v>5094.63</v>
      </c>
      <c r="O42" s="11">
        <v>6293.63</v>
      </c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>
        <f t="shared" si="1"/>
        <v>0</v>
      </c>
    </row>
    <row r="43" spans="2:28" outlineLevel="1" collapsed="1" x14ac:dyDescent="0.3">
      <c r="B43" s="10" t="s">
        <v>90</v>
      </c>
      <c r="C43" s="11">
        <v>0</v>
      </c>
      <c r="D43" s="11">
        <v>0</v>
      </c>
      <c r="E43" s="11">
        <v>655.9</v>
      </c>
      <c r="F43" s="11">
        <v>705.98</v>
      </c>
      <c r="G43" s="11"/>
      <c r="H43" s="11"/>
      <c r="I43" s="11"/>
      <c r="J43" s="11"/>
      <c r="K43" s="11"/>
      <c r="L43" s="11"/>
      <c r="M43" s="11"/>
      <c r="N43" s="11">
        <v>439.08</v>
      </c>
      <c r="O43" s="11">
        <v>1800.96</v>
      </c>
      <c r="P43" s="11"/>
      <c r="Q43" s="11"/>
      <c r="R43" s="11">
        <v>1000</v>
      </c>
      <c r="S43" s="11"/>
      <c r="T43" s="11"/>
      <c r="U43" s="11">
        <v>1000</v>
      </c>
      <c r="V43" s="11"/>
      <c r="W43" s="11"/>
      <c r="X43" s="11">
        <v>1000</v>
      </c>
      <c r="Y43" s="11"/>
      <c r="Z43" s="11">
        <v>1000</v>
      </c>
      <c r="AA43" s="11"/>
      <c r="AB43" s="11">
        <f t="shared" si="1"/>
        <v>4000</v>
      </c>
    </row>
    <row r="44" spans="2:28" outlineLevel="1" collapsed="1" x14ac:dyDescent="0.3">
      <c r="B44" s="10" t="s">
        <v>99</v>
      </c>
      <c r="C44" s="11">
        <v>0</v>
      </c>
      <c r="D44" s="11">
        <v>0</v>
      </c>
      <c r="E44" s="11">
        <v>0</v>
      </c>
      <c r="F44" s="11"/>
      <c r="G44" s="11"/>
      <c r="H44" s="11"/>
      <c r="I44" s="11"/>
      <c r="J44" s="11"/>
      <c r="K44" s="11">
        <v>300</v>
      </c>
      <c r="L44" s="11"/>
      <c r="M44" s="11">
        <v>602</v>
      </c>
      <c r="N44" s="11"/>
      <c r="O44" s="11">
        <v>902</v>
      </c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>
        <f t="shared" si="1"/>
        <v>0</v>
      </c>
    </row>
    <row r="45" spans="2:28" outlineLevel="1" collapsed="1" x14ac:dyDescent="0.3">
      <c r="B45" s="10" t="s">
        <v>111</v>
      </c>
      <c r="C45" s="11">
        <v>0</v>
      </c>
      <c r="D45" s="11">
        <v>0</v>
      </c>
      <c r="E45" s="11">
        <v>0</v>
      </c>
      <c r="F45" s="11"/>
      <c r="G45" s="11"/>
      <c r="H45" s="11"/>
      <c r="I45" s="11"/>
      <c r="J45" s="11"/>
      <c r="K45" s="11"/>
      <c r="L45" s="11"/>
      <c r="M45" s="11"/>
      <c r="N45" s="11">
        <v>3438</v>
      </c>
      <c r="O45" s="11">
        <v>3438</v>
      </c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>
        <f t="shared" si="1"/>
        <v>0</v>
      </c>
    </row>
    <row r="46" spans="2:28" outlineLevel="1" collapsed="1" x14ac:dyDescent="0.3">
      <c r="B46" s="10" t="s">
        <v>202</v>
      </c>
      <c r="C46" s="11">
        <v>0</v>
      </c>
      <c r="D46" s="11">
        <v>0</v>
      </c>
      <c r="E46" s="11">
        <v>0</v>
      </c>
      <c r="F46" s="11"/>
      <c r="G46" s="11"/>
      <c r="H46" s="11"/>
      <c r="I46" s="11"/>
      <c r="J46" s="11">
        <v>3160</v>
      </c>
      <c r="K46" s="11"/>
      <c r="L46" s="11"/>
      <c r="M46" s="11"/>
      <c r="N46" s="11"/>
      <c r="O46" s="11">
        <v>3160</v>
      </c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>
        <f t="shared" si="1"/>
        <v>0</v>
      </c>
    </row>
    <row r="47" spans="2:28" x14ac:dyDescent="0.3">
      <c r="B47" s="8" t="s">
        <v>13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>
        <f t="shared" si="1"/>
        <v>0</v>
      </c>
    </row>
    <row r="48" spans="2:28" x14ac:dyDescent="0.3">
      <c r="B48" s="8" t="s">
        <v>14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>
        <f t="shared" si="1"/>
        <v>0</v>
      </c>
    </row>
    <row r="49" spans="2:28" x14ac:dyDescent="0.3">
      <c r="B49" s="8" t="s">
        <v>15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>
        <f t="shared" si="1"/>
        <v>0</v>
      </c>
    </row>
    <row r="50" spans="2:28" x14ac:dyDescent="0.3">
      <c r="B50" s="8" t="s">
        <v>16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>
        <f t="shared" si="1"/>
        <v>0</v>
      </c>
    </row>
    <row r="51" spans="2:28" x14ac:dyDescent="0.3">
      <c r="B51" s="8" t="s">
        <v>5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>
        <f t="shared" si="1"/>
        <v>0</v>
      </c>
    </row>
    <row r="52" spans="2:28" collapsed="1" x14ac:dyDescent="0.3">
      <c r="B52" s="8" t="s">
        <v>17</v>
      </c>
      <c r="C52" s="9">
        <v>45.94</v>
      </c>
      <c r="D52" s="9">
        <v>105</v>
      </c>
      <c r="E52" s="9">
        <v>30.63</v>
      </c>
      <c r="F52" s="9">
        <v>0</v>
      </c>
      <c r="G52" s="9">
        <v>217.24</v>
      </c>
      <c r="H52" s="9">
        <v>0</v>
      </c>
      <c r="I52" s="9">
        <v>0</v>
      </c>
      <c r="J52" s="9">
        <v>38.51</v>
      </c>
      <c r="K52" s="9">
        <v>8.32</v>
      </c>
      <c r="L52" s="9">
        <v>37.630000000000003</v>
      </c>
      <c r="M52" s="9">
        <v>15.75</v>
      </c>
      <c r="N52" s="9">
        <v>394.62</v>
      </c>
      <c r="O52" s="9">
        <v>893.64</v>
      </c>
      <c r="P52" s="9">
        <f>SUM(P53:P55)</f>
        <v>0</v>
      </c>
      <c r="Q52" s="9">
        <f t="shared" ref="Q52:AA52" si="9">SUM(Q53:Q55)</f>
        <v>720</v>
      </c>
      <c r="R52" s="9">
        <f t="shared" si="9"/>
        <v>50</v>
      </c>
      <c r="S52" s="9">
        <f t="shared" si="9"/>
        <v>50</v>
      </c>
      <c r="T52" s="9">
        <f t="shared" si="9"/>
        <v>50</v>
      </c>
      <c r="U52" s="9">
        <f t="shared" si="9"/>
        <v>50</v>
      </c>
      <c r="V52" s="9">
        <f t="shared" si="9"/>
        <v>0</v>
      </c>
      <c r="W52" s="9">
        <f t="shared" si="9"/>
        <v>0</v>
      </c>
      <c r="X52" s="9">
        <f t="shared" si="9"/>
        <v>50</v>
      </c>
      <c r="Y52" s="9">
        <f t="shared" si="9"/>
        <v>50</v>
      </c>
      <c r="Z52" s="9">
        <f t="shared" si="9"/>
        <v>50</v>
      </c>
      <c r="AA52" s="9">
        <f t="shared" si="9"/>
        <v>50</v>
      </c>
      <c r="AB52" s="9">
        <f t="shared" si="1"/>
        <v>1120</v>
      </c>
    </row>
    <row r="53" spans="2:28" outlineLevel="1" x14ac:dyDescent="0.3">
      <c r="B53" s="10" t="s">
        <v>132</v>
      </c>
      <c r="C53" s="11">
        <v>0</v>
      </c>
      <c r="D53" s="11">
        <v>0</v>
      </c>
      <c r="E53" s="11">
        <v>0</v>
      </c>
      <c r="F53" s="11"/>
      <c r="G53" s="11"/>
      <c r="H53" s="11"/>
      <c r="I53" s="11"/>
      <c r="J53" s="11"/>
      <c r="K53" s="11"/>
      <c r="L53" s="11"/>
      <c r="M53" s="11"/>
      <c r="N53" s="11"/>
      <c r="O53" s="11">
        <v>0</v>
      </c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>
        <f t="shared" si="1"/>
        <v>0</v>
      </c>
    </row>
    <row r="54" spans="2:28" outlineLevel="1" collapsed="1" x14ac:dyDescent="0.3">
      <c r="B54" s="10" t="s">
        <v>133</v>
      </c>
      <c r="C54" s="11">
        <v>0</v>
      </c>
      <c r="D54" s="11">
        <v>0</v>
      </c>
      <c r="E54" s="11">
        <v>0</v>
      </c>
      <c r="F54" s="11"/>
      <c r="G54" s="11"/>
      <c r="H54" s="11"/>
      <c r="I54" s="11"/>
      <c r="J54" s="11"/>
      <c r="K54" s="11"/>
      <c r="L54" s="11"/>
      <c r="M54" s="11"/>
      <c r="N54" s="11"/>
      <c r="O54" s="11">
        <v>0</v>
      </c>
      <c r="P54" s="11"/>
      <c r="Q54" s="11">
        <v>720</v>
      </c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>
        <f t="shared" si="1"/>
        <v>720</v>
      </c>
    </row>
    <row r="55" spans="2:28" outlineLevel="1" collapsed="1" x14ac:dyDescent="0.3">
      <c r="B55" s="10" t="s">
        <v>134</v>
      </c>
      <c r="C55" s="11">
        <v>45.94</v>
      </c>
      <c r="D55" s="11">
        <v>105</v>
      </c>
      <c r="E55" s="11">
        <v>30.63</v>
      </c>
      <c r="F55" s="11"/>
      <c r="G55" s="11">
        <v>217.24</v>
      </c>
      <c r="H55" s="11"/>
      <c r="I55" s="11"/>
      <c r="J55" s="11">
        <v>38.51</v>
      </c>
      <c r="K55" s="11">
        <v>8.32</v>
      </c>
      <c r="L55" s="11">
        <v>37.630000000000003</v>
      </c>
      <c r="M55" s="11">
        <v>15.75</v>
      </c>
      <c r="N55" s="11">
        <v>394.62</v>
      </c>
      <c r="O55" s="11">
        <v>893.64</v>
      </c>
      <c r="P55" s="11"/>
      <c r="Q55" s="11"/>
      <c r="R55" s="11">
        <v>50</v>
      </c>
      <c r="S55" s="11">
        <v>50</v>
      </c>
      <c r="T55" s="11">
        <v>50</v>
      </c>
      <c r="U55" s="11">
        <v>50</v>
      </c>
      <c r="V55" s="11"/>
      <c r="W55" s="11"/>
      <c r="X55" s="11">
        <v>50</v>
      </c>
      <c r="Y55" s="11">
        <v>50</v>
      </c>
      <c r="Z55" s="11">
        <v>50</v>
      </c>
      <c r="AA55" s="11">
        <v>50</v>
      </c>
      <c r="AB55" s="11">
        <f t="shared" si="1"/>
        <v>400</v>
      </c>
    </row>
    <row r="56" spans="2:28" x14ac:dyDescent="0.3">
      <c r="B56" s="15" t="s">
        <v>18</v>
      </c>
      <c r="C56" s="16">
        <v>50662.740000000005</v>
      </c>
      <c r="D56" s="16">
        <v>10505</v>
      </c>
      <c r="E56" s="16">
        <v>8537.5299999999988</v>
      </c>
      <c r="F56" s="16">
        <v>15069.63</v>
      </c>
      <c r="G56" s="16">
        <v>217.24</v>
      </c>
      <c r="H56" s="16">
        <v>30907.200000000001</v>
      </c>
      <c r="I56" s="16">
        <v>8106.5</v>
      </c>
      <c r="J56" s="16">
        <v>5198.51</v>
      </c>
      <c r="K56" s="16">
        <v>12289.869999999999</v>
      </c>
      <c r="L56" s="16">
        <v>5802.63</v>
      </c>
      <c r="M56" s="16">
        <v>110415.15</v>
      </c>
      <c r="N56" s="16">
        <v>33571.030000000006</v>
      </c>
      <c r="O56" s="16">
        <v>291283.03000000003</v>
      </c>
      <c r="P56" s="16">
        <f>P28+P40+P34+P48+P47+P49+P50+P51+P52</f>
        <v>203000</v>
      </c>
      <c r="Q56" s="16">
        <f t="shared" ref="Q56:AA56" si="10">Q28+Q40+Q34+Q48+Q47+Q49+Q50+Q51+Q52</f>
        <v>1220</v>
      </c>
      <c r="R56" s="16">
        <f t="shared" si="10"/>
        <v>11131</v>
      </c>
      <c r="S56" s="16">
        <f t="shared" si="10"/>
        <v>5050</v>
      </c>
      <c r="T56" s="16">
        <f t="shared" si="10"/>
        <v>16550</v>
      </c>
      <c r="U56" s="16">
        <f t="shared" si="10"/>
        <v>505131</v>
      </c>
      <c r="V56" s="16">
        <f t="shared" si="10"/>
        <v>0</v>
      </c>
      <c r="W56" s="16">
        <f t="shared" si="10"/>
        <v>4000</v>
      </c>
      <c r="X56" s="16">
        <f t="shared" si="10"/>
        <v>16631</v>
      </c>
      <c r="Y56" s="16">
        <f t="shared" si="10"/>
        <v>5050</v>
      </c>
      <c r="Z56" s="16">
        <f t="shared" si="10"/>
        <v>1550</v>
      </c>
      <c r="AA56" s="16">
        <f t="shared" si="10"/>
        <v>34631</v>
      </c>
      <c r="AB56" s="16">
        <f t="shared" si="1"/>
        <v>803944</v>
      </c>
    </row>
    <row r="57" spans="2:28" x14ac:dyDescent="0.3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2:28" x14ac:dyDescent="0.3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</row>
    <row r="59" spans="2:28" x14ac:dyDescent="0.3">
      <c r="B59" s="8" t="s">
        <v>19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>
        <f t="shared" si="1"/>
        <v>0</v>
      </c>
    </row>
    <row r="60" spans="2:28" ht="16.2" thickBot="1" x14ac:dyDescent="0.35">
      <c r="B60" s="12" t="s">
        <v>20</v>
      </c>
      <c r="C60" s="13">
        <v>4537.7400000000052</v>
      </c>
      <c r="D60" s="13">
        <v>-8559</v>
      </c>
      <c r="E60" s="13">
        <v>-32534.47</v>
      </c>
      <c r="F60" s="13">
        <v>15519.63</v>
      </c>
      <c r="G60" s="13">
        <v>-1332.76</v>
      </c>
      <c r="H60" s="13">
        <v>-1685.9200000000019</v>
      </c>
      <c r="I60" s="13">
        <v>5102.88</v>
      </c>
      <c r="J60" s="13">
        <v>-30221.489999999998</v>
      </c>
      <c r="K60" s="13">
        <v>-15107.130000000001</v>
      </c>
      <c r="L60" s="13">
        <v>3652.63</v>
      </c>
      <c r="M60" s="13">
        <v>105365.15</v>
      </c>
      <c r="N60" s="13">
        <v>9355.0300000000061</v>
      </c>
      <c r="O60" s="13">
        <v>54092.289999999994</v>
      </c>
      <c r="P60" s="13">
        <f>P24+P56+P59</f>
        <v>203000</v>
      </c>
      <c r="Q60" s="13">
        <f t="shared" ref="Q60:AA60" si="11">Q24+Q56+Q59</f>
        <v>-34780</v>
      </c>
      <c r="R60" s="13">
        <f t="shared" si="11"/>
        <v>11131</v>
      </c>
      <c r="S60" s="13">
        <f t="shared" si="11"/>
        <v>-12450</v>
      </c>
      <c r="T60" s="13">
        <f t="shared" si="11"/>
        <v>14950</v>
      </c>
      <c r="U60" s="13">
        <f t="shared" si="11"/>
        <v>485131</v>
      </c>
      <c r="V60" s="13">
        <f t="shared" si="11"/>
        <v>0</v>
      </c>
      <c r="W60" s="13">
        <f t="shared" si="11"/>
        <v>-709000</v>
      </c>
      <c r="X60" s="13">
        <f t="shared" si="11"/>
        <v>-2469</v>
      </c>
      <c r="Y60" s="13">
        <f t="shared" si="11"/>
        <v>-8355</v>
      </c>
      <c r="Z60" s="13">
        <f t="shared" si="11"/>
        <v>1550</v>
      </c>
      <c r="AA60" s="13">
        <f t="shared" si="11"/>
        <v>17469</v>
      </c>
      <c r="AB60" s="13">
        <f t="shared" si="1"/>
        <v>-33823</v>
      </c>
    </row>
    <row r="61" spans="2:28" ht="15" thickTop="1" x14ac:dyDescent="0.3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F0829-02DB-42E9-8278-31293AD3BEFA}">
  <dimension ref="B2:AC98"/>
  <sheetViews>
    <sheetView topLeftCell="A82" workbookViewId="0">
      <selection activeCell="AA30" sqref="AA30"/>
    </sheetView>
  </sheetViews>
  <sheetFormatPr baseColWidth="10" defaultRowHeight="14.4" outlineLevelRow="1" outlineLevelCol="1" x14ac:dyDescent="0.3"/>
  <cols>
    <col min="2" max="2" width="50.5546875" bestFit="1" customWidth="1"/>
    <col min="3" max="6" width="11.109375" hidden="1" customWidth="1" outlineLevel="1"/>
    <col min="7" max="7" width="9.33203125" hidden="1" customWidth="1" outlineLevel="1"/>
    <col min="8" max="8" width="10" hidden="1" customWidth="1" outlineLevel="1"/>
    <col min="9" max="9" width="10.44140625" hidden="1" customWidth="1" outlineLevel="1"/>
    <col min="10" max="10" width="9.5546875" hidden="1" customWidth="1" outlineLevel="1"/>
    <col min="11" max="11" width="11.109375" hidden="1" customWidth="1" outlineLevel="1"/>
    <col min="12" max="13" width="9.33203125" hidden="1" customWidth="1" outlineLevel="1"/>
    <col min="14" max="14" width="9.5546875" hidden="1" customWidth="1" outlineLevel="1"/>
    <col min="15" max="15" width="12" customWidth="1" collapsed="1"/>
    <col min="16" max="16" width="11.5546875" customWidth="1" collapsed="1"/>
    <col min="17" max="17" width="11.109375" customWidth="1" collapsed="1"/>
    <col min="18" max="18" width="10.6640625" customWidth="1" collapsed="1"/>
    <col min="19" max="19" width="12.88671875" customWidth="1" collapsed="1"/>
    <col min="20" max="21" width="11.33203125" customWidth="1" collapsed="1"/>
    <col min="22" max="22" width="11" customWidth="1" collapsed="1"/>
    <col min="23" max="23" width="11.5546875" customWidth="1" collapsed="1"/>
    <col min="24" max="24" width="10.88671875" bestFit="1" customWidth="1" collapsed="1"/>
    <col min="25" max="25" width="11.109375" bestFit="1" customWidth="1" collapsed="1"/>
    <col min="26" max="26" width="10.44140625" bestFit="1" customWidth="1" collapsed="1"/>
    <col min="27" max="27" width="12" customWidth="1" collapsed="1"/>
    <col min="28" max="28" width="14.88671875" bestFit="1" customWidth="1" collapsed="1"/>
  </cols>
  <sheetData>
    <row r="2" spans="2:28" ht="25.8" x14ac:dyDescent="0.5">
      <c r="B2" s="1" t="s">
        <v>0</v>
      </c>
    </row>
    <row r="4" spans="2:28" ht="15.6" x14ac:dyDescent="0.3">
      <c r="B4" s="2" t="s">
        <v>190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 t="s">
        <v>1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 t="s">
        <v>154</v>
      </c>
    </row>
    <row r="5" spans="2:28" x14ac:dyDescent="0.3">
      <c r="B5" s="4"/>
      <c r="C5" s="14">
        <v>44470</v>
      </c>
      <c r="D5" s="14">
        <v>44501</v>
      </c>
      <c r="E5" s="14">
        <v>44531</v>
      </c>
      <c r="F5" s="14">
        <v>44562</v>
      </c>
      <c r="G5" s="14">
        <v>44593</v>
      </c>
      <c r="H5" s="14">
        <v>44621</v>
      </c>
      <c r="I5" s="14">
        <v>44652</v>
      </c>
      <c r="J5" s="14">
        <v>44682</v>
      </c>
      <c r="K5" s="14">
        <v>44713</v>
      </c>
      <c r="L5" s="14">
        <v>44743</v>
      </c>
      <c r="M5" s="14">
        <v>44774</v>
      </c>
      <c r="N5" s="14">
        <v>44805</v>
      </c>
      <c r="O5" s="14" t="s">
        <v>141</v>
      </c>
      <c r="P5" s="14" t="s">
        <v>142</v>
      </c>
      <c r="Q5" s="14" t="s">
        <v>143</v>
      </c>
      <c r="R5" s="14" t="s">
        <v>144</v>
      </c>
      <c r="S5" s="14" t="s">
        <v>145</v>
      </c>
      <c r="T5" s="14" t="s">
        <v>146</v>
      </c>
      <c r="U5" s="14" t="s">
        <v>147</v>
      </c>
      <c r="V5" s="14" t="s">
        <v>148</v>
      </c>
      <c r="W5" s="14" t="s">
        <v>149</v>
      </c>
      <c r="X5" s="61" t="s">
        <v>150</v>
      </c>
      <c r="Y5" s="14" t="s">
        <v>151</v>
      </c>
      <c r="Z5" s="14" t="s">
        <v>152</v>
      </c>
      <c r="AA5" s="14" t="s">
        <v>153</v>
      </c>
      <c r="AB5" s="14" t="s">
        <v>157</v>
      </c>
    </row>
    <row r="6" spans="2:28" x14ac:dyDescent="0.3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 ht="21" x14ac:dyDescent="0.4">
      <c r="B7" s="6" t="s">
        <v>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collapsed="1" x14ac:dyDescent="0.3">
      <c r="B8" s="8" t="s">
        <v>4</v>
      </c>
      <c r="C8" s="9">
        <v>-123048.83</v>
      </c>
      <c r="D8" s="9">
        <v>-205598</v>
      </c>
      <c r="E8" s="9">
        <v>-221832</v>
      </c>
      <c r="F8" s="9">
        <v>-13550</v>
      </c>
      <c r="G8" s="9">
        <v>-7949.17</v>
      </c>
      <c r="H8" s="9">
        <v>-255210.35</v>
      </c>
      <c r="I8" s="9">
        <v>-64206</v>
      </c>
      <c r="J8" s="9">
        <v>-125917.61</v>
      </c>
      <c r="K8" s="9">
        <v>-404983.38</v>
      </c>
      <c r="L8" s="9">
        <v>-3376.1</v>
      </c>
      <c r="M8" s="9">
        <v>-53294.45</v>
      </c>
      <c r="N8" s="9">
        <v>-115365.45</v>
      </c>
      <c r="O8" s="9">
        <v>-1594331.34</v>
      </c>
      <c r="P8" s="9">
        <f>SUM(P9:P21)</f>
        <v>-22000</v>
      </c>
      <c r="Q8" s="9">
        <f t="shared" ref="Q8:AB8" si="0">SUM(Q9:Q21)</f>
        <v>-462000</v>
      </c>
      <c r="R8" s="9">
        <f t="shared" si="0"/>
        <v>-22000</v>
      </c>
      <c r="S8" s="9">
        <f t="shared" si="0"/>
        <v>-154000</v>
      </c>
      <c r="T8" s="9">
        <f t="shared" si="0"/>
        <v>-74000</v>
      </c>
      <c r="U8" s="9">
        <f t="shared" si="0"/>
        <v>-799000</v>
      </c>
      <c r="V8" s="9">
        <f t="shared" si="0"/>
        <v>0</v>
      </c>
      <c r="W8" s="9">
        <f t="shared" si="0"/>
        <v>-390000</v>
      </c>
      <c r="X8" s="9">
        <f t="shared" si="0"/>
        <v>-24000</v>
      </c>
      <c r="Y8" s="9">
        <f t="shared" si="0"/>
        <v>-114000</v>
      </c>
      <c r="Z8" s="9">
        <f t="shared" si="0"/>
        <v>-22000</v>
      </c>
      <c r="AA8" s="9">
        <f t="shared" si="0"/>
        <v>-451640</v>
      </c>
      <c r="AB8" s="9">
        <f t="shared" si="0"/>
        <v>-2536640</v>
      </c>
    </row>
    <row r="9" spans="2:28" outlineLevel="1" x14ac:dyDescent="0.3">
      <c r="B9" s="10" t="s">
        <v>23</v>
      </c>
      <c r="C9" s="11">
        <v>0</v>
      </c>
      <c r="D9" s="11">
        <v>-96555</v>
      </c>
      <c r="E9" s="11">
        <v>0</v>
      </c>
      <c r="F9" s="11"/>
      <c r="G9" s="11"/>
      <c r="H9" s="11"/>
      <c r="I9" s="11"/>
      <c r="J9" s="11"/>
      <c r="K9" s="11">
        <v>-258138</v>
      </c>
      <c r="L9" s="11">
        <v>0</v>
      </c>
      <c r="M9" s="11"/>
      <c r="N9" s="11"/>
      <c r="O9" s="11">
        <v>-354693</v>
      </c>
      <c r="P9" s="11"/>
      <c r="Q9" s="11"/>
      <c r="R9" s="11"/>
      <c r="S9" s="11"/>
      <c r="T9" s="11"/>
      <c r="U9" s="11">
        <v>-270000</v>
      </c>
      <c r="V9" s="11"/>
      <c r="W9" s="11"/>
      <c r="X9" s="11"/>
      <c r="Y9" s="11">
        <v>-90000</v>
      </c>
      <c r="Z9" s="11"/>
      <c r="AA9" s="11">
        <v>-100000</v>
      </c>
      <c r="AB9" s="11">
        <v>-460000</v>
      </c>
    </row>
    <row r="10" spans="2:28" outlineLevel="1" collapsed="1" x14ac:dyDescent="0.3">
      <c r="B10" s="10" t="s">
        <v>24</v>
      </c>
      <c r="C10" s="11">
        <v>0</v>
      </c>
      <c r="D10" s="11">
        <v>0</v>
      </c>
      <c r="E10" s="11">
        <v>-114065</v>
      </c>
      <c r="F10" s="11"/>
      <c r="G10" s="11"/>
      <c r="H10" s="11"/>
      <c r="I10" s="11"/>
      <c r="J10" s="11"/>
      <c r="K10" s="11">
        <v>-43964.88</v>
      </c>
      <c r="L10" s="11"/>
      <c r="M10" s="11"/>
      <c r="N10" s="11"/>
      <c r="O10" s="11">
        <v>-158029.88</v>
      </c>
      <c r="P10" s="11"/>
      <c r="Q10" s="11"/>
      <c r="R10" s="11"/>
      <c r="S10" s="11"/>
      <c r="T10" s="11"/>
      <c r="U10" s="11">
        <v>-65000</v>
      </c>
      <c r="V10" s="11"/>
      <c r="W10" s="11"/>
      <c r="X10" s="11"/>
      <c r="Y10" s="11"/>
      <c r="Z10" s="11"/>
      <c r="AA10" s="11">
        <v>-145000</v>
      </c>
      <c r="AB10" s="11">
        <f t="shared" ref="AB10:AB74" si="1">SUM(P10:AA10)</f>
        <v>-210000</v>
      </c>
    </row>
    <row r="11" spans="2:28" outlineLevel="1" collapsed="1" x14ac:dyDescent="0.3">
      <c r="B11" s="10" t="s">
        <v>191</v>
      </c>
      <c r="C11" s="11">
        <v>0</v>
      </c>
      <c r="D11" s="11">
        <v>0</v>
      </c>
      <c r="E11" s="11">
        <v>0</v>
      </c>
      <c r="F11" s="11"/>
      <c r="G11" s="11"/>
      <c r="H11" s="11"/>
      <c r="I11" s="11"/>
      <c r="J11" s="11"/>
      <c r="K11" s="11"/>
      <c r="L11" s="11"/>
      <c r="M11" s="11"/>
      <c r="N11" s="11"/>
      <c r="O11" s="11">
        <v>0</v>
      </c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>
        <f t="shared" si="1"/>
        <v>0</v>
      </c>
    </row>
    <row r="12" spans="2:28" outlineLevel="1" collapsed="1" x14ac:dyDescent="0.3">
      <c r="B12" s="10" t="s">
        <v>192</v>
      </c>
      <c r="C12" s="11">
        <v>-1200</v>
      </c>
      <c r="D12" s="11">
        <v>0</v>
      </c>
      <c r="E12" s="11">
        <v>0</v>
      </c>
      <c r="F12" s="11"/>
      <c r="G12" s="11"/>
      <c r="H12" s="11"/>
      <c r="I12" s="11">
        <v>-1080</v>
      </c>
      <c r="J12" s="11">
        <v>-495.61</v>
      </c>
      <c r="K12" s="11">
        <v>-550</v>
      </c>
      <c r="L12" s="11"/>
      <c r="M12" s="11">
        <v>-700</v>
      </c>
      <c r="N12" s="11"/>
      <c r="O12" s="11">
        <v>-4025.61</v>
      </c>
      <c r="P12" s="11"/>
      <c r="Q12" s="11"/>
      <c r="R12" s="11"/>
      <c r="S12" s="11">
        <v>-2000</v>
      </c>
      <c r="T12" s="11">
        <v>-2000</v>
      </c>
      <c r="U12" s="11">
        <v>-2000</v>
      </c>
      <c r="V12" s="11"/>
      <c r="W12" s="11">
        <v>-88000</v>
      </c>
      <c r="X12" s="11">
        <v>-2000</v>
      </c>
      <c r="Y12" s="11">
        <v>-2000</v>
      </c>
      <c r="Z12" s="11"/>
      <c r="AA12" s="11"/>
      <c r="AB12" s="11">
        <v>-100000</v>
      </c>
    </row>
    <row r="13" spans="2:28" outlineLevel="1" collapsed="1" x14ac:dyDescent="0.3">
      <c r="B13" s="10" t="s">
        <v>193</v>
      </c>
      <c r="C13" s="11">
        <v>0</v>
      </c>
      <c r="D13" s="11">
        <v>0</v>
      </c>
      <c r="E13" s="11">
        <v>-28650</v>
      </c>
      <c r="F13" s="11">
        <v>-11050</v>
      </c>
      <c r="G13" s="11">
        <v>-6300</v>
      </c>
      <c r="H13" s="11"/>
      <c r="I13" s="11">
        <v>0</v>
      </c>
      <c r="J13" s="11"/>
      <c r="K13" s="11"/>
      <c r="L13" s="11"/>
      <c r="M13" s="11"/>
      <c r="N13" s="11"/>
      <c r="O13" s="11">
        <v>-46000</v>
      </c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>
        <f t="shared" si="1"/>
        <v>0</v>
      </c>
    </row>
    <row r="14" spans="2:28" outlineLevel="1" x14ac:dyDescent="0.3">
      <c r="B14" s="10" t="str">
        <f>"3207"&amp;" - "&amp;"Dugnad"</f>
        <v>3207 - Dugnad</v>
      </c>
      <c r="C14" s="11">
        <v>0</v>
      </c>
      <c r="D14" s="11">
        <v>-13150</v>
      </c>
      <c r="E14" s="11">
        <v>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>
        <f t="shared" si="1"/>
        <v>0</v>
      </c>
    </row>
    <row r="15" spans="2:28" outlineLevel="1" collapsed="1" x14ac:dyDescent="0.3">
      <c r="B15" s="10" t="s">
        <v>25</v>
      </c>
      <c r="C15" s="11">
        <v>0</v>
      </c>
      <c r="D15" s="11">
        <v>0</v>
      </c>
      <c r="E15" s="11">
        <v>-67967</v>
      </c>
      <c r="F15" s="11">
        <v>0</v>
      </c>
      <c r="G15" s="11"/>
      <c r="H15" s="11"/>
      <c r="I15" s="11"/>
      <c r="J15" s="11"/>
      <c r="K15" s="11"/>
      <c r="L15" s="11"/>
      <c r="M15" s="11"/>
      <c r="N15" s="11"/>
      <c r="O15" s="11">
        <v>-67967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>
        <v>-59640</v>
      </c>
      <c r="AB15" s="11">
        <f t="shared" si="1"/>
        <v>-59640</v>
      </c>
    </row>
    <row r="16" spans="2:28" outlineLevel="1" collapsed="1" x14ac:dyDescent="0.3">
      <c r="B16" s="10" t="s">
        <v>26</v>
      </c>
      <c r="C16" s="11">
        <v>0</v>
      </c>
      <c r="D16" s="11">
        <v>0</v>
      </c>
      <c r="E16" s="11">
        <v>0</v>
      </c>
      <c r="F16" s="11"/>
      <c r="G16" s="11"/>
      <c r="H16" s="11"/>
      <c r="I16" s="11"/>
      <c r="J16" s="11"/>
      <c r="K16" s="11"/>
      <c r="L16" s="11">
        <v>0</v>
      </c>
      <c r="M16" s="11"/>
      <c r="N16" s="11"/>
      <c r="O16" s="11">
        <v>0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>
        <f t="shared" si="1"/>
        <v>0</v>
      </c>
    </row>
    <row r="17" spans="2:28" outlineLevel="1" collapsed="1" x14ac:dyDescent="0.3">
      <c r="B17" s="10" t="s">
        <v>173</v>
      </c>
      <c r="C17" s="11">
        <v>-121848.83</v>
      </c>
      <c r="D17" s="11">
        <v>98716</v>
      </c>
      <c r="E17" s="11">
        <v>-11150</v>
      </c>
      <c r="F17" s="11">
        <v>-2500</v>
      </c>
      <c r="G17" s="11">
        <v>-1649.17</v>
      </c>
      <c r="H17" s="11">
        <v>-255210.35</v>
      </c>
      <c r="I17" s="11">
        <v>-63126</v>
      </c>
      <c r="J17" s="11">
        <v>-125422</v>
      </c>
      <c r="K17" s="11">
        <v>-102330.5</v>
      </c>
      <c r="L17" s="11">
        <v>-2456.1</v>
      </c>
      <c r="M17" s="11">
        <v>-31837.45</v>
      </c>
      <c r="N17" s="11">
        <v>-115365.45</v>
      </c>
      <c r="O17" s="11">
        <v>-734179.84999999986</v>
      </c>
      <c r="P17" s="11"/>
      <c r="Q17" s="11">
        <v>-440000</v>
      </c>
      <c r="R17" s="11"/>
      <c r="S17" s="11"/>
      <c r="T17" s="11"/>
      <c r="U17" s="11">
        <v>-440000</v>
      </c>
      <c r="V17" s="11"/>
      <c r="W17" s="11"/>
      <c r="X17" s="11"/>
      <c r="Y17" s="11"/>
      <c r="Z17" s="11"/>
      <c r="AA17" s="11"/>
      <c r="AB17" s="11">
        <v>-880000</v>
      </c>
    </row>
    <row r="18" spans="2:28" outlineLevel="1" collapsed="1" x14ac:dyDescent="0.3">
      <c r="B18" s="10" t="s">
        <v>160</v>
      </c>
      <c r="C18" s="11">
        <v>0</v>
      </c>
      <c r="D18" s="11">
        <v>0</v>
      </c>
      <c r="E18" s="11">
        <v>0</v>
      </c>
      <c r="F18" s="11"/>
      <c r="G18" s="11"/>
      <c r="H18" s="11"/>
      <c r="I18" s="11"/>
      <c r="J18" s="11"/>
      <c r="K18" s="11"/>
      <c r="L18" s="11">
        <v>-920</v>
      </c>
      <c r="M18" s="11">
        <v>-20757</v>
      </c>
      <c r="N18" s="11"/>
      <c r="O18" s="11">
        <v>-21677</v>
      </c>
      <c r="P18" s="11"/>
      <c r="Q18" s="11"/>
      <c r="R18" s="11"/>
      <c r="S18" s="11"/>
      <c r="T18" s="11"/>
      <c r="U18" s="11"/>
      <c r="V18" s="11"/>
      <c r="W18" s="11">
        <v>-75000</v>
      </c>
      <c r="X18" s="11"/>
      <c r="Y18" s="11"/>
      <c r="Z18" s="11"/>
      <c r="AA18" s="11"/>
      <c r="AB18" s="11">
        <f t="shared" si="1"/>
        <v>-75000</v>
      </c>
    </row>
    <row r="19" spans="2:28" outlineLevel="1" collapsed="1" x14ac:dyDescent="0.3">
      <c r="B19" s="10" t="s">
        <v>27</v>
      </c>
      <c r="C19" s="11">
        <v>0</v>
      </c>
      <c r="D19" s="11">
        <v>-194609</v>
      </c>
      <c r="E19" s="11">
        <v>0</v>
      </c>
      <c r="F19" s="11"/>
      <c r="G19" s="11"/>
      <c r="H19" s="11"/>
      <c r="I19" s="11"/>
      <c r="J19" s="11"/>
      <c r="K19" s="11"/>
      <c r="L19" s="11"/>
      <c r="M19" s="11"/>
      <c r="N19" s="11"/>
      <c r="O19" s="11">
        <v>-194609</v>
      </c>
      <c r="P19" s="11">
        <v>-22000</v>
      </c>
      <c r="Q19" s="11">
        <v>-22000</v>
      </c>
      <c r="R19" s="11">
        <v>-22000</v>
      </c>
      <c r="S19" s="11">
        <v>-32000</v>
      </c>
      <c r="T19" s="11">
        <v>-72000</v>
      </c>
      <c r="U19" s="11">
        <v>-22000</v>
      </c>
      <c r="V19" s="11"/>
      <c r="W19" s="11">
        <v>-227000</v>
      </c>
      <c r="X19" s="11">
        <v>-22000</v>
      </c>
      <c r="Y19" s="11">
        <v>-22000</v>
      </c>
      <c r="Z19" s="11">
        <v>-22000</v>
      </c>
      <c r="AA19" s="11">
        <v>-122000</v>
      </c>
      <c r="AB19" s="11">
        <f>SUM(P19:AA19)</f>
        <v>-607000</v>
      </c>
    </row>
    <row r="20" spans="2:28" outlineLevel="1" collapsed="1" x14ac:dyDescent="0.3">
      <c r="B20" s="10" t="s">
        <v>194</v>
      </c>
      <c r="C20" s="11">
        <v>0</v>
      </c>
      <c r="D20" s="11">
        <v>0</v>
      </c>
      <c r="E20" s="11">
        <v>0</v>
      </c>
      <c r="F20" s="11"/>
      <c r="G20" s="11"/>
      <c r="H20" s="11"/>
      <c r="I20" s="11"/>
      <c r="J20" s="11"/>
      <c r="K20" s="11"/>
      <c r="L20" s="11"/>
      <c r="M20" s="11"/>
      <c r="N20" s="11"/>
      <c r="O20" s="11">
        <v>0</v>
      </c>
      <c r="P20" s="11"/>
      <c r="Q20" s="11"/>
      <c r="R20" s="11"/>
      <c r="S20" s="11">
        <v>-120000</v>
      </c>
      <c r="T20" s="11"/>
      <c r="U20" s="11"/>
      <c r="V20" s="11"/>
      <c r="W20" s="11"/>
      <c r="X20" s="11"/>
      <c r="Y20" s="11"/>
      <c r="Z20" s="11"/>
      <c r="AA20" s="11"/>
      <c r="AB20" s="11">
        <v>-120000</v>
      </c>
    </row>
    <row r="21" spans="2:28" outlineLevel="1" collapsed="1" x14ac:dyDescent="0.3">
      <c r="B21" s="10" t="s">
        <v>29</v>
      </c>
      <c r="C21" s="11">
        <v>0</v>
      </c>
      <c r="D21" s="11">
        <v>0</v>
      </c>
      <c r="E21" s="11">
        <v>0</v>
      </c>
      <c r="F21" s="11"/>
      <c r="G21" s="11"/>
      <c r="H21" s="11"/>
      <c r="I21" s="11"/>
      <c r="J21" s="11"/>
      <c r="K21" s="11"/>
      <c r="L21" s="11"/>
      <c r="M21" s="11"/>
      <c r="N21" s="11"/>
      <c r="O21" s="11">
        <v>0</v>
      </c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>
        <v>-25000</v>
      </c>
      <c r="AB21" s="11">
        <v>-25000</v>
      </c>
    </row>
    <row r="22" spans="2:28" x14ac:dyDescent="0.3">
      <c r="B22" s="8" t="s">
        <v>5</v>
      </c>
      <c r="C22" s="9">
        <v>0</v>
      </c>
      <c r="D22" s="9">
        <v>-149412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-149412</v>
      </c>
      <c r="P22" s="9">
        <f>SUM(P23:P24)</f>
        <v>0</v>
      </c>
      <c r="Q22" s="9">
        <f t="shared" ref="Q22:AA22" si="2">SUM(Q23:Q24)</f>
        <v>0</v>
      </c>
      <c r="R22" s="9">
        <f t="shared" si="2"/>
        <v>0</v>
      </c>
      <c r="S22" s="9">
        <f t="shared" si="2"/>
        <v>0</v>
      </c>
      <c r="T22" s="9">
        <f t="shared" si="2"/>
        <v>0</v>
      </c>
      <c r="U22" s="9">
        <f t="shared" si="2"/>
        <v>0</v>
      </c>
      <c r="V22" s="9">
        <f t="shared" si="2"/>
        <v>0</v>
      </c>
      <c r="W22" s="9">
        <f t="shared" si="2"/>
        <v>0</v>
      </c>
      <c r="X22" s="9">
        <f t="shared" si="2"/>
        <v>0</v>
      </c>
      <c r="Y22" s="9">
        <f t="shared" si="2"/>
        <v>-149099</v>
      </c>
      <c r="Z22" s="9">
        <f t="shared" si="2"/>
        <v>0</v>
      </c>
      <c r="AA22" s="9">
        <f t="shared" si="2"/>
        <v>0</v>
      </c>
      <c r="AB22" s="9">
        <f t="shared" si="1"/>
        <v>-149099</v>
      </c>
    </row>
    <row r="23" spans="2:28" outlineLevel="1" x14ac:dyDescent="0.3">
      <c r="B23" s="10" t="s">
        <v>30</v>
      </c>
      <c r="C23" s="11">
        <v>0</v>
      </c>
      <c r="D23" s="11">
        <v>0</v>
      </c>
      <c r="E23" s="11"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>
        <v>0</v>
      </c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>
        <f t="shared" si="1"/>
        <v>0</v>
      </c>
    </row>
    <row r="24" spans="2:28" outlineLevel="1" collapsed="1" x14ac:dyDescent="0.3">
      <c r="B24" s="10" t="s">
        <v>32</v>
      </c>
      <c r="C24" s="11">
        <v>0</v>
      </c>
      <c r="D24" s="11">
        <v>-149412</v>
      </c>
      <c r="E24" s="11">
        <v>0</v>
      </c>
      <c r="F24" s="11"/>
      <c r="G24" s="11"/>
      <c r="H24" s="11"/>
      <c r="I24" s="11"/>
      <c r="J24" s="11"/>
      <c r="K24" s="11"/>
      <c r="L24" s="11"/>
      <c r="M24" s="11"/>
      <c r="N24" s="11"/>
      <c r="O24" s="11">
        <v>-149412</v>
      </c>
      <c r="P24" s="11"/>
      <c r="Q24" s="11"/>
      <c r="R24" s="11"/>
      <c r="S24" s="11"/>
      <c r="T24" s="11"/>
      <c r="U24" s="11"/>
      <c r="V24" s="11"/>
      <c r="W24" s="11"/>
      <c r="X24" s="11"/>
      <c r="Y24" s="11">
        <v>-149099</v>
      </c>
      <c r="Z24" s="11"/>
      <c r="AA24" s="11"/>
      <c r="AB24" s="11">
        <f t="shared" si="1"/>
        <v>-149099</v>
      </c>
    </row>
    <row r="25" spans="2:28" x14ac:dyDescent="0.3">
      <c r="B25" s="8" t="s">
        <v>6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>
        <f t="shared" si="1"/>
        <v>0</v>
      </c>
    </row>
    <row r="26" spans="2:28" collapsed="1" x14ac:dyDescent="0.3">
      <c r="B26" s="8" t="s">
        <v>7</v>
      </c>
      <c r="C26" s="9">
        <v>-2731.69</v>
      </c>
      <c r="D26" s="9">
        <v>-84.83</v>
      </c>
      <c r="E26" s="9">
        <v>-38965</v>
      </c>
      <c r="F26" s="9">
        <v>-253873</v>
      </c>
      <c r="G26" s="9">
        <v>-280</v>
      </c>
      <c r="H26" s="9">
        <v>0</v>
      </c>
      <c r="I26" s="9">
        <v>-34139</v>
      </c>
      <c r="J26" s="9">
        <v>-450</v>
      </c>
      <c r="K26" s="9">
        <v>-38136</v>
      </c>
      <c r="L26" s="9">
        <v>0</v>
      </c>
      <c r="M26" s="9">
        <v>-23585</v>
      </c>
      <c r="N26" s="9">
        <v>-37500</v>
      </c>
      <c r="O26" s="9">
        <v>-429744.52</v>
      </c>
      <c r="P26" s="9">
        <f>SUM(P27:P29)</f>
        <v>0</v>
      </c>
      <c r="Q26" s="9">
        <f t="shared" ref="Q26:AA26" si="3">SUM(Q27:Q29)</f>
        <v>0</v>
      </c>
      <c r="R26" s="9">
        <f t="shared" si="3"/>
        <v>0</v>
      </c>
      <c r="S26" s="9">
        <f t="shared" si="3"/>
        <v>0</v>
      </c>
      <c r="T26" s="9">
        <f t="shared" si="3"/>
        <v>0</v>
      </c>
      <c r="U26" s="9">
        <f t="shared" si="3"/>
        <v>0</v>
      </c>
      <c r="V26" s="9">
        <f t="shared" si="3"/>
        <v>0</v>
      </c>
      <c r="W26" s="9">
        <f t="shared" si="3"/>
        <v>0</v>
      </c>
      <c r="X26" s="9">
        <f t="shared" si="3"/>
        <v>0</v>
      </c>
      <c r="Y26" s="9">
        <f t="shared" si="3"/>
        <v>0</v>
      </c>
      <c r="Z26" s="9">
        <f t="shared" si="3"/>
        <v>0</v>
      </c>
      <c r="AA26" s="9">
        <f t="shared" si="3"/>
        <v>0</v>
      </c>
      <c r="AB26" s="9">
        <f t="shared" si="1"/>
        <v>0</v>
      </c>
    </row>
    <row r="27" spans="2:28" outlineLevel="1" x14ac:dyDescent="0.3">
      <c r="B27" s="10" t="s">
        <v>161</v>
      </c>
      <c r="C27" s="11">
        <v>0</v>
      </c>
      <c r="D27" s="11">
        <v>0</v>
      </c>
      <c r="E27" s="11">
        <v>0</v>
      </c>
      <c r="F27" s="11"/>
      <c r="G27" s="11"/>
      <c r="H27" s="11"/>
      <c r="I27" s="11">
        <v>-5000</v>
      </c>
      <c r="J27" s="11"/>
      <c r="K27" s="11"/>
      <c r="L27" s="11"/>
      <c r="M27" s="11"/>
      <c r="N27" s="11"/>
      <c r="O27" s="11">
        <v>-5000</v>
      </c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>
        <f t="shared" si="1"/>
        <v>0</v>
      </c>
    </row>
    <row r="28" spans="2:28" outlineLevel="1" collapsed="1" x14ac:dyDescent="0.3">
      <c r="B28" s="10" t="s">
        <v>162</v>
      </c>
      <c r="C28" s="11">
        <v>0</v>
      </c>
      <c r="D28" s="11">
        <v>0</v>
      </c>
      <c r="E28" s="11">
        <v>0</v>
      </c>
      <c r="F28" s="11">
        <v>-115711</v>
      </c>
      <c r="G28" s="11"/>
      <c r="H28" s="11"/>
      <c r="I28" s="11">
        <v>-29139</v>
      </c>
      <c r="J28" s="11"/>
      <c r="K28" s="11"/>
      <c r="L28" s="11"/>
      <c r="M28" s="11"/>
      <c r="N28" s="11"/>
      <c r="O28" s="11">
        <v>-144850</v>
      </c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>
        <f t="shared" si="1"/>
        <v>0</v>
      </c>
    </row>
    <row r="29" spans="2:28" outlineLevel="1" collapsed="1" x14ac:dyDescent="0.3">
      <c r="B29" s="10" t="s">
        <v>42</v>
      </c>
      <c r="C29" s="11">
        <v>-2731.69</v>
      </c>
      <c r="D29" s="11">
        <v>-84.83</v>
      </c>
      <c r="E29" s="11">
        <v>-38965</v>
      </c>
      <c r="F29" s="11">
        <v>-138162</v>
      </c>
      <c r="G29" s="11">
        <v>-280</v>
      </c>
      <c r="H29" s="11"/>
      <c r="I29" s="11"/>
      <c r="J29" s="11">
        <v>-450</v>
      </c>
      <c r="K29" s="11">
        <v>-38136</v>
      </c>
      <c r="L29" s="11"/>
      <c r="M29" s="11">
        <v>-23585</v>
      </c>
      <c r="N29" s="11">
        <v>-37500</v>
      </c>
      <c r="O29" s="11">
        <v>-279894.52</v>
      </c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>
        <f t="shared" si="1"/>
        <v>0</v>
      </c>
    </row>
    <row r="30" spans="2:28" s="62" customFormat="1" x14ac:dyDescent="0.3">
      <c r="B30" s="15" t="s">
        <v>8</v>
      </c>
      <c r="C30" s="16">
        <v>-125780.52</v>
      </c>
      <c r="D30" s="16">
        <v>-355094.83</v>
      </c>
      <c r="E30" s="16">
        <v>-260797</v>
      </c>
      <c r="F30" s="16">
        <v>-267423</v>
      </c>
      <c r="G30" s="16">
        <v>-8229.17</v>
      </c>
      <c r="H30" s="16">
        <v>-255210.35</v>
      </c>
      <c r="I30" s="16">
        <v>-98345</v>
      </c>
      <c r="J30" s="16">
        <v>-126367.61</v>
      </c>
      <c r="K30" s="16">
        <v>-443119.38</v>
      </c>
      <c r="L30" s="16">
        <v>-3376.1</v>
      </c>
      <c r="M30" s="16">
        <v>-76879.45</v>
      </c>
      <c r="N30" s="16">
        <v>-152865.45000000001</v>
      </c>
      <c r="O30" s="16">
        <v>-2173487.8600000003</v>
      </c>
      <c r="P30" s="16">
        <f>P8+P22+P25+P26</f>
        <v>-22000</v>
      </c>
      <c r="Q30" s="16">
        <f t="shared" ref="Q30:AB30" si="4">Q8+Q22+Q25+Q26</f>
        <v>-462000</v>
      </c>
      <c r="R30" s="16">
        <f t="shared" si="4"/>
        <v>-22000</v>
      </c>
      <c r="S30" s="16">
        <f t="shared" si="4"/>
        <v>-154000</v>
      </c>
      <c r="T30" s="16">
        <f t="shared" si="4"/>
        <v>-74000</v>
      </c>
      <c r="U30" s="16">
        <f t="shared" si="4"/>
        <v>-799000</v>
      </c>
      <c r="V30" s="16">
        <f t="shared" si="4"/>
        <v>0</v>
      </c>
      <c r="W30" s="16">
        <f t="shared" si="4"/>
        <v>-390000</v>
      </c>
      <c r="X30" s="16">
        <f t="shared" si="4"/>
        <v>-24000</v>
      </c>
      <c r="Y30" s="16">
        <f t="shared" si="4"/>
        <v>-263099</v>
      </c>
      <c r="Z30" s="16">
        <f t="shared" si="4"/>
        <v>-22000</v>
      </c>
      <c r="AA30" s="16">
        <f t="shared" si="4"/>
        <v>-451640</v>
      </c>
      <c r="AB30" s="16">
        <f t="shared" si="4"/>
        <v>-2685739</v>
      </c>
    </row>
    <row r="31" spans="2:28" x14ac:dyDescent="0.3">
      <c r="B31" s="18"/>
      <c r="C31" s="18">
        <v>0</v>
      </c>
      <c r="D31" s="18">
        <v>0</v>
      </c>
      <c r="E31" s="18">
        <v>0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2:28" x14ac:dyDescent="0.3">
      <c r="B32" s="17"/>
      <c r="C32" s="17">
        <v>0</v>
      </c>
      <c r="D32" s="17">
        <v>0</v>
      </c>
      <c r="E32" s="17">
        <v>0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2:29" ht="21" x14ac:dyDescent="0.4">
      <c r="B33" s="6" t="s">
        <v>9</v>
      </c>
      <c r="C33" s="7">
        <v>0</v>
      </c>
      <c r="D33" s="7">
        <v>0</v>
      </c>
      <c r="E33" s="7">
        <v>0</v>
      </c>
      <c r="F33" s="7"/>
      <c r="G33" s="7"/>
      <c r="H33" s="7"/>
      <c r="I33" s="7"/>
      <c r="J33" s="7"/>
      <c r="K33" s="7"/>
      <c r="L33" s="7"/>
      <c r="M33" s="7"/>
      <c r="N33" s="7"/>
      <c r="O33" s="7">
        <v>0</v>
      </c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>
        <f t="shared" si="1"/>
        <v>0</v>
      </c>
    </row>
    <row r="34" spans="2:29" collapsed="1" x14ac:dyDescent="0.3">
      <c r="B34" s="8" t="s">
        <v>10</v>
      </c>
      <c r="C34" s="9">
        <v>28484</v>
      </c>
      <c r="D34" s="9">
        <v>15975</v>
      </c>
      <c r="E34" s="9">
        <v>73932.240000000005</v>
      </c>
      <c r="F34" s="9">
        <v>49776.200000000004</v>
      </c>
      <c r="G34" s="9">
        <v>6703.67</v>
      </c>
      <c r="H34" s="9">
        <v>44378.11</v>
      </c>
      <c r="I34" s="9">
        <v>131176.69999999998</v>
      </c>
      <c r="J34" s="9">
        <v>104833.58</v>
      </c>
      <c r="K34" s="9">
        <v>53032.35</v>
      </c>
      <c r="L34" s="9">
        <v>54203.8</v>
      </c>
      <c r="M34" s="9">
        <v>30220.899999999998</v>
      </c>
      <c r="N34" s="9">
        <v>34830.28</v>
      </c>
      <c r="O34" s="9">
        <v>627546.83000000007</v>
      </c>
      <c r="P34" s="9">
        <f>SUM(P35:P46)</f>
        <v>27272</v>
      </c>
      <c r="Q34" s="9">
        <f t="shared" ref="Q34:AA34" si="5">SUM(Q35:Q46)</f>
        <v>27272</v>
      </c>
      <c r="R34" s="9">
        <f t="shared" si="5"/>
        <v>42272</v>
      </c>
      <c r="S34" s="9">
        <f t="shared" si="5"/>
        <v>110605</v>
      </c>
      <c r="T34" s="9">
        <f t="shared" si="5"/>
        <v>50605</v>
      </c>
      <c r="U34" s="9">
        <f t="shared" si="5"/>
        <v>50605</v>
      </c>
      <c r="V34" s="9">
        <f t="shared" si="5"/>
        <v>0</v>
      </c>
      <c r="W34" s="9">
        <f t="shared" si="5"/>
        <v>90605</v>
      </c>
      <c r="X34" s="9">
        <f t="shared" si="5"/>
        <v>50605</v>
      </c>
      <c r="Y34" s="9">
        <f t="shared" si="5"/>
        <v>50605</v>
      </c>
      <c r="Z34" s="9">
        <f t="shared" si="5"/>
        <v>27272</v>
      </c>
      <c r="AA34" s="9">
        <f t="shared" si="5"/>
        <v>27272</v>
      </c>
      <c r="AB34" s="9">
        <v>555000</v>
      </c>
    </row>
    <row r="35" spans="2:29" outlineLevel="1" x14ac:dyDescent="0.3">
      <c r="B35" s="10" t="s">
        <v>195</v>
      </c>
      <c r="C35" s="11">
        <v>0</v>
      </c>
      <c r="D35" s="11">
        <v>0</v>
      </c>
      <c r="E35" s="11">
        <v>0</v>
      </c>
      <c r="F35" s="11"/>
      <c r="G35" s="11"/>
      <c r="H35" s="11"/>
      <c r="I35" s="11"/>
      <c r="J35" s="11"/>
      <c r="K35" s="11"/>
      <c r="L35" s="11"/>
      <c r="M35" s="11"/>
      <c r="N35" s="11"/>
      <c r="O35" s="11">
        <v>0</v>
      </c>
      <c r="P35" s="11"/>
      <c r="Q35" s="11"/>
      <c r="R35" s="11"/>
      <c r="S35" s="11">
        <v>60000</v>
      </c>
      <c r="T35" s="11"/>
      <c r="U35" s="11"/>
      <c r="V35" s="11"/>
      <c r="W35" s="11"/>
      <c r="X35" s="11"/>
      <c r="Y35" s="11"/>
      <c r="Z35" s="11"/>
      <c r="AA35" s="11"/>
      <c r="AB35" s="11">
        <v>60000</v>
      </c>
    </row>
    <row r="36" spans="2:29" outlineLevel="1" x14ac:dyDescent="0.3">
      <c r="B36" s="10" t="str">
        <f>"4207"&amp;" - "&amp;"Utgifter til dugnad"</f>
        <v>4207 - Utgifter til dugnad</v>
      </c>
      <c r="C36" s="11">
        <v>0</v>
      </c>
      <c r="D36" s="11">
        <v>0</v>
      </c>
      <c r="E36" s="11">
        <v>27150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>
        <f t="shared" si="1"/>
        <v>0</v>
      </c>
    </row>
    <row r="37" spans="2:29" outlineLevel="1" collapsed="1" x14ac:dyDescent="0.3">
      <c r="B37" s="10" t="s">
        <v>53</v>
      </c>
      <c r="C37" s="11">
        <v>0</v>
      </c>
      <c r="D37" s="11">
        <v>0</v>
      </c>
      <c r="E37" s="11">
        <v>0</v>
      </c>
      <c r="F37" s="11"/>
      <c r="G37" s="11"/>
      <c r="H37" s="11"/>
      <c r="I37" s="11"/>
      <c r="J37" s="11"/>
      <c r="K37" s="11"/>
      <c r="L37" s="11"/>
      <c r="M37" s="11"/>
      <c r="N37" s="11">
        <v>89</v>
      </c>
      <c r="O37" s="11">
        <v>89</v>
      </c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>
        <f t="shared" si="1"/>
        <v>0</v>
      </c>
    </row>
    <row r="38" spans="2:29" outlineLevel="1" collapsed="1" x14ac:dyDescent="0.3">
      <c r="B38" s="10" t="s">
        <v>54</v>
      </c>
      <c r="C38" s="11">
        <v>0</v>
      </c>
      <c r="D38" s="11">
        <v>0</v>
      </c>
      <c r="E38" s="11">
        <v>12923</v>
      </c>
      <c r="F38" s="11">
        <v>44737.8</v>
      </c>
      <c r="G38" s="11">
        <v>1566.2</v>
      </c>
      <c r="H38" s="11">
        <v>32907.949999999997</v>
      </c>
      <c r="I38" s="11">
        <v>91895.4</v>
      </c>
      <c r="J38" s="11">
        <v>11893.2</v>
      </c>
      <c r="K38" s="11">
        <v>9888</v>
      </c>
      <c r="L38" s="11">
        <v>49303.8</v>
      </c>
      <c r="M38" s="11">
        <v>2935.6</v>
      </c>
      <c r="N38" s="11">
        <v>3323.4</v>
      </c>
      <c r="O38" s="11">
        <v>261374.34999999998</v>
      </c>
      <c r="P38" s="11">
        <v>15909</v>
      </c>
      <c r="Q38" s="11">
        <v>15909</v>
      </c>
      <c r="R38" s="11">
        <v>15909</v>
      </c>
      <c r="S38" s="11">
        <v>15909</v>
      </c>
      <c r="T38" s="11">
        <v>15909</v>
      </c>
      <c r="U38" s="11">
        <v>15909</v>
      </c>
      <c r="V38" s="11"/>
      <c r="W38" s="11">
        <v>15909</v>
      </c>
      <c r="X38" s="11">
        <v>15909</v>
      </c>
      <c r="Y38" s="11">
        <v>15909</v>
      </c>
      <c r="Z38" s="11">
        <v>15909</v>
      </c>
      <c r="AA38" s="11">
        <v>15909</v>
      </c>
      <c r="AB38" s="11">
        <v>175000</v>
      </c>
    </row>
    <row r="39" spans="2:29" outlineLevel="1" collapsed="1" x14ac:dyDescent="0.3">
      <c r="B39" s="10" t="s">
        <v>196</v>
      </c>
      <c r="C39" s="11">
        <v>0</v>
      </c>
      <c r="D39" s="11">
        <v>0</v>
      </c>
      <c r="E39" s="11">
        <v>1959</v>
      </c>
      <c r="F39" s="11">
        <v>1488.4</v>
      </c>
      <c r="G39" s="11"/>
      <c r="H39" s="11">
        <v>1694</v>
      </c>
      <c r="I39" s="11"/>
      <c r="J39" s="11"/>
      <c r="K39" s="11"/>
      <c r="L39" s="11"/>
      <c r="M39" s="11"/>
      <c r="N39" s="11"/>
      <c r="O39" s="11">
        <v>5141.3999999999996</v>
      </c>
      <c r="P39" s="11"/>
      <c r="Q39" s="11"/>
      <c r="R39" s="11">
        <v>5000</v>
      </c>
      <c r="S39" s="11"/>
      <c r="T39" s="11"/>
      <c r="U39" s="11"/>
      <c r="V39" s="11"/>
      <c r="W39" s="11"/>
      <c r="X39" s="11"/>
      <c r="Y39" s="11"/>
      <c r="Z39" s="11"/>
      <c r="AA39" s="11"/>
      <c r="AB39" s="11">
        <v>5000</v>
      </c>
    </row>
    <row r="40" spans="2:29" outlineLevel="1" collapsed="1" x14ac:dyDescent="0.3">
      <c r="B40" s="10" t="s">
        <v>178</v>
      </c>
      <c r="C40" s="11">
        <v>0</v>
      </c>
      <c r="D40" s="11">
        <v>0</v>
      </c>
      <c r="E40" s="11">
        <v>0</v>
      </c>
      <c r="F40" s="11"/>
      <c r="G40" s="11"/>
      <c r="H40" s="11"/>
      <c r="I40" s="11"/>
      <c r="J40" s="11"/>
      <c r="K40" s="11"/>
      <c r="L40" s="11"/>
      <c r="M40" s="11"/>
      <c r="N40" s="11"/>
      <c r="O40" s="11">
        <v>0</v>
      </c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>
        <f t="shared" si="1"/>
        <v>0</v>
      </c>
    </row>
    <row r="41" spans="2:29" outlineLevel="1" collapsed="1" x14ac:dyDescent="0.3">
      <c r="B41" s="10" t="s">
        <v>163</v>
      </c>
      <c r="C41" s="11">
        <v>2021</v>
      </c>
      <c r="D41" s="11">
        <v>7775</v>
      </c>
      <c r="E41" s="11">
        <v>0</v>
      </c>
      <c r="F41" s="11"/>
      <c r="G41" s="11">
        <v>800</v>
      </c>
      <c r="H41" s="11">
        <v>2500</v>
      </c>
      <c r="I41" s="11">
        <v>1541</v>
      </c>
      <c r="J41" s="11">
        <v>8500</v>
      </c>
      <c r="K41" s="11">
        <v>2300</v>
      </c>
      <c r="L41" s="11"/>
      <c r="M41" s="11">
        <v>14900</v>
      </c>
      <c r="N41" s="11"/>
      <c r="O41" s="11">
        <v>40337</v>
      </c>
      <c r="P41" s="11"/>
      <c r="Q41" s="11"/>
      <c r="R41" s="11"/>
      <c r="S41" s="11"/>
      <c r="T41" s="11"/>
      <c r="U41" s="11"/>
      <c r="V41" s="11"/>
      <c r="W41" s="11">
        <v>40000</v>
      </c>
      <c r="X41" s="11"/>
      <c r="Y41" s="11"/>
      <c r="Z41" s="11"/>
      <c r="AA41" s="11"/>
      <c r="AB41" s="11">
        <v>40000</v>
      </c>
    </row>
    <row r="42" spans="2:29" outlineLevel="1" collapsed="1" x14ac:dyDescent="0.3">
      <c r="B42" s="10" t="s">
        <v>164</v>
      </c>
      <c r="C42" s="11">
        <v>0</v>
      </c>
      <c r="D42" s="11">
        <v>4100</v>
      </c>
      <c r="E42" s="11">
        <v>21900</v>
      </c>
      <c r="F42" s="11">
        <v>3000</v>
      </c>
      <c r="G42" s="11"/>
      <c r="H42" s="11">
        <v>5200</v>
      </c>
      <c r="I42" s="11">
        <v>17500</v>
      </c>
      <c r="J42" s="11">
        <v>63900</v>
      </c>
      <c r="K42" s="11">
        <v>800</v>
      </c>
      <c r="L42" s="11">
        <v>4900</v>
      </c>
      <c r="M42" s="11"/>
      <c r="N42" s="11"/>
      <c r="O42" s="11">
        <v>121300</v>
      </c>
      <c r="P42" s="11">
        <v>11363</v>
      </c>
      <c r="Q42" s="11">
        <v>11363</v>
      </c>
      <c r="R42" s="11">
        <v>11363</v>
      </c>
      <c r="S42" s="11">
        <v>11363</v>
      </c>
      <c r="T42" s="11">
        <v>11363</v>
      </c>
      <c r="U42" s="11">
        <v>11363</v>
      </c>
      <c r="V42" s="11"/>
      <c r="W42" s="11">
        <v>11363</v>
      </c>
      <c r="X42" s="11">
        <v>11363</v>
      </c>
      <c r="Y42" s="11">
        <v>11363</v>
      </c>
      <c r="Z42" s="11">
        <v>11363</v>
      </c>
      <c r="AA42" s="11">
        <v>11363</v>
      </c>
      <c r="AB42" s="11">
        <v>125000</v>
      </c>
    </row>
    <row r="43" spans="2:29" outlineLevel="1" collapsed="1" x14ac:dyDescent="0.3">
      <c r="B43" s="10" t="s">
        <v>197</v>
      </c>
      <c r="C43" s="11">
        <v>0</v>
      </c>
      <c r="D43" s="11">
        <v>3200</v>
      </c>
      <c r="E43" s="11">
        <v>1300</v>
      </c>
      <c r="F43" s="11"/>
      <c r="G43" s="11"/>
      <c r="H43" s="11">
        <v>1200</v>
      </c>
      <c r="I43" s="11"/>
      <c r="J43" s="11"/>
      <c r="K43" s="11">
        <v>700</v>
      </c>
      <c r="L43" s="11"/>
      <c r="M43" s="11"/>
      <c r="N43" s="11">
        <v>1900</v>
      </c>
      <c r="O43" s="11">
        <v>8300</v>
      </c>
      <c r="P43" s="11"/>
      <c r="Q43" s="11"/>
      <c r="R43" s="11">
        <v>10000</v>
      </c>
      <c r="S43" s="11"/>
      <c r="T43" s="11"/>
      <c r="U43" s="11"/>
      <c r="V43" s="11"/>
      <c r="W43" s="11"/>
      <c r="X43" s="11"/>
      <c r="Y43" s="11"/>
      <c r="Z43" s="11"/>
      <c r="AA43" s="11"/>
      <c r="AB43" s="11">
        <v>10000</v>
      </c>
    </row>
    <row r="44" spans="2:29" outlineLevel="1" collapsed="1" x14ac:dyDescent="0.3">
      <c r="B44" s="10" t="s">
        <v>55</v>
      </c>
      <c r="C44" s="11">
        <v>26463</v>
      </c>
      <c r="D44" s="11">
        <v>900</v>
      </c>
      <c r="E44" s="11">
        <v>8700.24</v>
      </c>
      <c r="F44" s="11">
        <v>550</v>
      </c>
      <c r="G44" s="11">
        <v>4337.47</v>
      </c>
      <c r="H44" s="11">
        <v>876.16</v>
      </c>
      <c r="I44" s="11">
        <v>20240.3</v>
      </c>
      <c r="J44" s="11">
        <v>20540.38</v>
      </c>
      <c r="K44" s="11">
        <v>39344.35</v>
      </c>
      <c r="L44" s="11"/>
      <c r="M44" s="11">
        <v>12385.3</v>
      </c>
      <c r="N44" s="11">
        <v>29517.88</v>
      </c>
      <c r="O44" s="11">
        <v>163855.07999999999</v>
      </c>
      <c r="P44" s="11"/>
      <c r="Q44" s="11"/>
      <c r="R44" s="11"/>
      <c r="S44" s="11">
        <v>23333</v>
      </c>
      <c r="T44" s="11">
        <v>23333</v>
      </c>
      <c r="U44" s="11">
        <v>23333</v>
      </c>
      <c r="V44" s="11"/>
      <c r="W44" s="11">
        <v>23333</v>
      </c>
      <c r="X44" s="11">
        <v>23333</v>
      </c>
      <c r="Y44" s="11">
        <v>23333</v>
      </c>
      <c r="Z44" s="11"/>
      <c r="AA44" s="11"/>
      <c r="AB44" s="11">
        <v>140000</v>
      </c>
    </row>
    <row r="45" spans="2:29" outlineLevel="1" collapsed="1" x14ac:dyDescent="0.3">
      <c r="B45" s="10" t="s">
        <v>198</v>
      </c>
      <c r="C45" s="11">
        <v>0</v>
      </c>
      <c r="D45" s="11">
        <v>0</v>
      </c>
      <c r="E45" s="11">
        <v>0</v>
      </c>
      <c r="F45" s="11"/>
      <c r="G45" s="11"/>
      <c r="H45" s="11"/>
      <c r="I45" s="11"/>
      <c r="J45" s="11"/>
      <c r="K45" s="11"/>
      <c r="L45" s="11"/>
      <c r="M45" s="11"/>
      <c r="N45" s="11"/>
      <c r="O45" s="11">
        <v>0</v>
      </c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>
        <f t="shared" si="1"/>
        <v>0</v>
      </c>
    </row>
    <row r="46" spans="2:29" outlineLevel="1" collapsed="1" x14ac:dyDescent="0.3">
      <c r="B46" s="10" t="s">
        <v>199</v>
      </c>
      <c r="C46" s="11">
        <v>0</v>
      </c>
      <c r="D46" s="11">
        <v>0</v>
      </c>
      <c r="E46" s="11">
        <v>0</v>
      </c>
      <c r="F46" s="11"/>
      <c r="G46" s="11"/>
      <c r="H46" s="11"/>
      <c r="I46" s="11"/>
      <c r="J46" s="11"/>
      <c r="K46" s="11"/>
      <c r="L46" s="11">
        <v>0</v>
      </c>
      <c r="M46" s="11"/>
      <c r="N46" s="11"/>
      <c r="O46" s="11">
        <v>0</v>
      </c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>
        <f t="shared" si="1"/>
        <v>0</v>
      </c>
    </row>
    <row r="47" spans="2:29" x14ac:dyDescent="0.3">
      <c r="B47" s="8" t="s">
        <v>11</v>
      </c>
      <c r="C47" s="9">
        <v>32691.38</v>
      </c>
      <c r="D47" s="9">
        <v>39289</v>
      </c>
      <c r="E47" s="9">
        <v>76820.899999999994</v>
      </c>
      <c r="F47" s="9">
        <v>52500</v>
      </c>
      <c r="G47" s="9">
        <v>8722</v>
      </c>
      <c r="H47" s="9">
        <v>74655.34</v>
      </c>
      <c r="I47" s="9">
        <v>17938.5</v>
      </c>
      <c r="J47" s="9">
        <v>44179</v>
      </c>
      <c r="K47" s="9">
        <v>155685.34</v>
      </c>
      <c r="L47" s="9">
        <v>0</v>
      </c>
      <c r="M47" s="9">
        <v>70143.67</v>
      </c>
      <c r="N47" s="9">
        <v>105841.97</v>
      </c>
      <c r="O47" s="9">
        <v>678467.1</v>
      </c>
      <c r="P47" s="9">
        <f>SUM(P48:P58)</f>
        <v>96487.317412000004</v>
      </c>
      <c r="Q47" s="9">
        <f t="shared" ref="Q47:AA47" si="6">SUM(Q48:Q58)</f>
        <v>96487.317412000004</v>
      </c>
      <c r="R47" s="9">
        <f t="shared" si="6"/>
        <v>179258.317412</v>
      </c>
      <c r="S47" s="9">
        <f t="shared" si="6"/>
        <v>96487.317412000004</v>
      </c>
      <c r="T47" s="9">
        <f t="shared" si="6"/>
        <v>96488.628794000004</v>
      </c>
      <c r="U47" s="9">
        <f t="shared" si="6"/>
        <v>179259.62879400002</v>
      </c>
      <c r="V47" s="9">
        <f t="shared" si="6"/>
        <v>71033.628794000004</v>
      </c>
      <c r="W47" s="9">
        <f t="shared" si="6"/>
        <v>96488.628794000004</v>
      </c>
      <c r="X47" s="9">
        <f t="shared" si="6"/>
        <v>179259.62879400002</v>
      </c>
      <c r="Y47" s="9">
        <f t="shared" si="6"/>
        <v>121488.628794</v>
      </c>
      <c r="Z47" s="9">
        <f t="shared" si="6"/>
        <v>111488.628794</v>
      </c>
      <c r="AA47" s="9">
        <f t="shared" si="6"/>
        <v>154259.62879400002</v>
      </c>
      <c r="AB47" s="9">
        <v>1468482</v>
      </c>
    </row>
    <row r="48" spans="2:29" outlineLevel="1" x14ac:dyDescent="0.3">
      <c r="B48" s="10" t="s">
        <v>58</v>
      </c>
      <c r="C48" s="11">
        <v>0</v>
      </c>
      <c r="D48" s="11">
        <v>0</v>
      </c>
      <c r="E48" s="11">
        <v>0</v>
      </c>
      <c r="F48" s="11"/>
      <c r="G48" s="11"/>
      <c r="H48" s="11"/>
      <c r="I48" s="11"/>
      <c r="J48" s="11"/>
      <c r="K48" s="11"/>
      <c r="L48" s="11"/>
      <c r="M48" s="11">
        <v>54166.67</v>
      </c>
      <c r="N48" s="11">
        <v>54166.67</v>
      </c>
      <c r="O48" s="11">
        <v>108333.34</v>
      </c>
      <c r="P48" s="11">
        <v>54166</v>
      </c>
      <c r="Q48" s="11">
        <v>54166</v>
      </c>
      <c r="R48" s="11">
        <v>54166</v>
      </c>
      <c r="S48" s="11">
        <v>54166</v>
      </c>
      <c r="T48" s="11">
        <v>54167</v>
      </c>
      <c r="U48" s="11">
        <v>54167</v>
      </c>
      <c r="V48" s="11">
        <v>54167</v>
      </c>
      <c r="W48" s="11">
        <v>54167</v>
      </c>
      <c r="X48" s="11">
        <v>54167</v>
      </c>
      <c r="Y48" s="11">
        <v>54167</v>
      </c>
      <c r="Z48" s="11">
        <v>54167</v>
      </c>
      <c r="AA48" s="11">
        <v>54167</v>
      </c>
      <c r="AB48" s="11">
        <f t="shared" si="1"/>
        <v>650000</v>
      </c>
      <c r="AC48" s="63"/>
    </row>
    <row r="49" spans="2:29" outlineLevel="1" collapsed="1" x14ac:dyDescent="0.3">
      <c r="B49" s="10" t="s">
        <v>60</v>
      </c>
      <c r="C49" s="11">
        <v>0</v>
      </c>
      <c r="D49" s="11">
        <v>0</v>
      </c>
      <c r="E49" s="11">
        <v>0</v>
      </c>
      <c r="F49" s="11"/>
      <c r="G49" s="11"/>
      <c r="H49" s="11"/>
      <c r="I49" s="11"/>
      <c r="J49" s="11"/>
      <c r="K49" s="11"/>
      <c r="L49" s="11"/>
      <c r="M49" s="11">
        <v>6500</v>
      </c>
      <c r="N49" s="11">
        <v>6500</v>
      </c>
      <c r="O49" s="11">
        <v>13000</v>
      </c>
      <c r="P49" s="11">
        <f>P48*10.2/100</f>
        <v>5524.9319999999998</v>
      </c>
      <c r="Q49" s="11">
        <f t="shared" ref="Q49:AA49" si="7">Q48*10.2/100</f>
        <v>5524.9319999999998</v>
      </c>
      <c r="R49" s="11">
        <f t="shared" si="7"/>
        <v>5524.9319999999998</v>
      </c>
      <c r="S49" s="11">
        <f t="shared" si="7"/>
        <v>5524.9319999999998</v>
      </c>
      <c r="T49" s="11">
        <f t="shared" si="7"/>
        <v>5525.0339999999987</v>
      </c>
      <c r="U49" s="11">
        <f t="shared" si="7"/>
        <v>5525.0339999999987</v>
      </c>
      <c r="V49" s="11">
        <f t="shared" si="7"/>
        <v>5525.0339999999987</v>
      </c>
      <c r="W49" s="11">
        <f t="shared" si="7"/>
        <v>5525.0339999999987</v>
      </c>
      <c r="X49" s="11">
        <f t="shared" si="7"/>
        <v>5525.0339999999987</v>
      </c>
      <c r="Y49" s="11">
        <f t="shared" si="7"/>
        <v>5525.0339999999987</v>
      </c>
      <c r="Z49" s="11">
        <f t="shared" si="7"/>
        <v>5525.0339999999987</v>
      </c>
      <c r="AA49" s="11">
        <f t="shared" si="7"/>
        <v>5525.0339999999987</v>
      </c>
      <c r="AB49" s="11">
        <f t="shared" si="1"/>
        <v>66299.999999999985</v>
      </c>
      <c r="AC49" s="63"/>
    </row>
    <row r="50" spans="2:29" outlineLevel="1" collapsed="1" x14ac:dyDescent="0.3">
      <c r="B50" s="10" t="s">
        <v>66</v>
      </c>
      <c r="C50" s="11">
        <v>32500</v>
      </c>
      <c r="D50" s="11">
        <v>36000</v>
      </c>
      <c r="E50" s="11">
        <v>25000</v>
      </c>
      <c r="F50" s="11">
        <v>2500</v>
      </c>
      <c r="G50" s="11"/>
      <c r="H50" s="11">
        <v>35930</v>
      </c>
      <c r="I50" s="11">
        <v>15638.5</v>
      </c>
      <c r="J50" s="11">
        <v>41877</v>
      </c>
      <c r="K50" s="11">
        <v>110200</v>
      </c>
      <c r="L50" s="11"/>
      <c r="M50" s="11"/>
      <c r="N50" s="11"/>
      <c r="O50" s="11">
        <v>299645.5</v>
      </c>
      <c r="P50" s="11">
        <v>25455</v>
      </c>
      <c r="Q50" s="11">
        <v>25455</v>
      </c>
      <c r="R50" s="11">
        <v>25455</v>
      </c>
      <c r="S50" s="11">
        <v>25455</v>
      </c>
      <c r="T50" s="11">
        <v>25455</v>
      </c>
      <c r="U50" s="11">
        <v>25455</v>
      </c>
      <c r="V50" s="11"/>
      <c r="W50" s="11">
        <v>25455</v>
      </c>
      <c r="X50" s="11">
        <v>25455</v>
      </c>
      <c r="Y50" s="11">
        <v>25455</v>
      </c>
      <c r="Z50" s="11">
        <v>25455</v>
      </c>
      <c r="AA50" s="11">
        <v>25455</v>
      </c>
      <c r="AB50" s="11">
        <v>280000</v>
      </c>
      <c r="AC50" s="63"/>
    </row>
    <row r="51" spans="2:29" outlineLevel="1" collapsed="1" x14ac:dyDescent="0.3">
      <c r="B51" s="10" t="s">
        <v>67</v>
      </c>
      <c r="C51" s="11">
        <v>0</v>
      </c>
      <c r="D51" s="11">
        <v>0</v>
      </c>
      <c r="E51" s="11">
        <v>0</v>
      </c>
      <c r="F51" s="11"/>
      <c r="G51" s="11"/>
      <c r="H51" s="11"/>
      <c r="I51" s="11"/>
      <c r="J51" s="11"/>
      <c r="K51" s="11"/>
      <c r="L51" s="11"/>
      <c r="M51" s="11">
        <v>7637.5</v>
      </c>
      <c r="N51" s="11">
        <v>7637.5</v>
      </c>
      <c r="O51" s="11">
        <v>15275</v>
      </c>
      <c r="P51" s="11">
        <f>P48*14.1/100</f>
        <v>7637.4059999999999</v>
      </c>
      <c r="Q51" s="11">
        <f t="shared" ref="Q51:AA52" si="8">Q48*14.1/100</f>
        <v>7637.4059999999999</v>
      </c>
      <c r="R51" s="11">
        <f t="shared" si="8"/>
        <v>7637.4059999999999</v>
      </c>
      <c r="S51" s="11">
        <f t="shared" si="8"/>
        <v>7637.4059999999999</v>
      </c>
      <c r="T51" s="11">
        <f t="shared" si="8"/>
        <v>7637.5469999999996</v>
      </c>
      <c r="U51" s="11">
        <f t="shared" si="8"/>
        <v>7637.5469999999996</v>
      </c>
      <c r="V51" s="11">
        <f t="shared" si="8"/>
        <v>7637.5469999999996</v>
      </c>
      <c r="W51" s="11">
        <f t="shared" si="8"/>
        <v>7637.5469999999996</v>
      </c>
      <c r="X51" s="11">
        <f t="shared" si="8"/>
        <v>7637.5469999999996</v>
      </c>
      <c r="Y51" s="11">
        <f t="shared" si="8"/>
        <v>7637.5469999999996</v>
      </c>
      <c r="Z51" s="11">
        <f t="shared" si="8"/>
        <v>7637.5469999999996</v>
      </c>
      <c r="AA51" s="11">
        <f t="shared" si="8"/>
        <v>7637.5469999999996</v>
      </c>
      <c r="AB51" s="11">
        <f t="shared" si="1"/>
        <v>91650.000000000015</v>
      </c>
      <c r="AC51" s="63"/>
    </row>
    <row r="52" spans="2:29" outlineLevel="1" collapsed="1" x14ac:dyDescent="0.3">
      <c r="B52" s="10" t="s">
        <v>68</v>
      </c>
      <c r="C52" s="11">
        <v>0</v>
      </c>
      <c r="D52" s="11">
        <v>0</v>
      </c>
      <c r="E52" s="11">
        <v>0</v>
      </c>
      <c r="F52" s="11"/>
      <c r="G52" s="11"/>
      <c r="H52" s="11"/>
      <c r="I52" s="11"/>
      <c r="J52" s="11"/>
      <c r="K52" s="11"/>
      <c r="L52" s="11"/>
      <c r="M52" s="11">
        <v>916.5</v>
      </c>
      <c r="N52" s="11">
        <v>916.5</v>
      </c>
      <c r="O52" s="11">
        <v>1833</v>
      </c>
      <c r="P52" s="11">
        <f>P49*14.1/100</f>
        <v>779.01541199999997</v>
      </c>
      <c r="Q52" s="11">
        <f t="shared" si="8"/>
        <v>779.01541199999997</v>
      </c>
      <c r="R52" s="11">
        <f t="shared" si="8"/>
        <v>779.01541199999997</v>
      </c>
      <c r="S52" s="11">
        <f t="shared" si="8"/>
        <v>779.01541199999997</v>
      </c>
      <c r="T52" s="11">
        <f t="shared" si="8"/>
        <v>779.02979399999981</v>
      </c>
      <c r="U52" s="11">
        <f t="shared" si="8"/>
        <v>779.02979399999981</v>
      </c>
      <c r="V52" s="11">
        <f t="shared" si="8"/>
        <v>779.02979399999981</v>
      </c>
      <c r="W52" s="11">
        <f t="shared" si="8"/>
        <v>779.02979399999981</v>
      </c>
      <c r="X52" s="11">
        <f t="shared" si="8"/>
        <v>779.02979399999981</v>
      </c>
      <c r="Y52" s="11">
        <f t="shared" si="8"/>
        <v>779.02979399999981</v>
      </c>
      <c r="Z52" s="11">
        <f t="shared" si="8"/>
        <v>779.02979399999981</v>
      </c>
      <c r="AA52" s="11">
        <f t="shared" si="8"/>
        <v>779.02979399999981</v>
      </c>
      <c r="AB52" s="11">
        <f t="shared" si="1"/>
        <v>9348.2999999999993</v>
      </c>
      <c r="AC52" s="63"/>
    </row>
    <row r="53" spans="2:29" outlineLevel="1" x14ac:dyDescent="0.3">
      <c r="B53" s="10" t="s">
        <v>70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>
        <f>P48*5.4/100</f>
        <v>2924.9640000000004</v>
      </c>
      <c r="Q53" s="11">
        <f t="shared" ref="Q53:AA53" si="9">Q48*5.4/100</f>
        <v>2924.9640000000004</v>
      </c>
      <c r="R53" s="11">
        <f t="shared" si="9"/>
        <v>2924.9640000000004</v>
      </c>
      <c r="S53" s="11">
        <f t="shared" si="9"/>
        <v>2924.9640000000004</v>
      </c>
      <c r="T53" s="11">
        <f t="shared" si="9"/>
        <v>2925.0180000000005</v>
      </c>
      <c r="U53" s="11">
        <f t="shared" si="9"/>
        <v>2925.0180000000005</v>
      </c>
      <c r="V53" s="11">
        <f t="shared" si="9"/>
        <v>2925.0180000000005</v>
      </c>
      <c r="W53" s="11">
        <f t="shared" si="9"/>
        <v>2925.0180000000005</v>
      </c>
      <c r="X53" s="11">
        <f t="shared" si="9"/>
        <v>2925.0180000000005</v>
      </c>
      <c r="Y53" s="11">
        <f t="shared" si="9"/>
        <v>2925.0180000000005</v>
      </c>
      <c r="Z53" s="11">
        <f t="shared" si="9"/>
        <v>2925.0180000000005</v>
      </c>
      <c r="AA53" s="11">
        <f t="shared" si="9"/>
        <v>2925.0180000000005</v>
      </c>
      <c r="AB53" s="11">
        <f t="shared" si="1"/>
        <v>35100.000000000007</v>
      </c>
      <c r="AC53" s="63"/>
    </row>
    <row r="54" spans="2:29" outlineLevel="1" collapsed="1" x14ac:dyDescent="0.3">
      <c r="B54" s="10" t="s">
        <v>165</v>
      </c>
      <c r="C54" s="11">
        <v>0</v>
      </c>
      <c r="D54" s="11">
        <v>0</v>
      </c>
      <c r="E54" s="11">
        <v>31522</v>
      </c>
      <c r="F54" s="11"/>
      <c r="G54" s="11"/>
      <c r="H54" s="11">
        <v>31433</v>
      </c>
      <c r="I54" s="11"/>
      <c r="J54" s="11"/>
      <c r="K54" s="11">
        <v>31433</v>
      </c>
      <c r="L54" s="11"/>
      <c r="M54" s="11"/>
      <c r="N54" s="11">
        <v>31433</v>
      </c>
      <c r="O54" s="11">
        <v>125821</v>
      </c>
      <c r="P54" s="11"/>
      <c r="Q54" s="11"/>
      <c r="R54" s="11">
        <v>57771</v>
      </c>
      <c r="S54" s="11"/>
      <c r="T54" s="11"/>
      <c r="U54" s="11">
        <v>57771</v>
      </c>
      <c r="V54" s="11"/>
      <c r="W54" s="11"/>
      <c r="X54" s="11">
        <v>57771</v>
      </c>
      <c r="Y54" s="11"/>
      <c r="Z54" s="11"/>
      <c r="AA54" s="11">
        <v>57771</v>
      </c>
      <c r="AB54" s="11">
        <f t="shared" si="1"/>
        <v>231084</v>
      </c>
      <c r="AC54" s="63"/>
    </row>
    <row r="55" spans="2:29" outlineLevel="1" collapsed="1" x14ac:dyDescent="0.3">
      <c r="B55" s="10" t="s">
        <v>180</v>
      </c>
      <c r="C55" s="11">
        <v>0</v>
      </c>
      <c r="D55" s="11">
        <v>0</v>
      </c>
      <c r="E55" s="11">
        <v>700</v>
      </c>
      <c r="F55" s="11"/>
      <c r="G55" s="11"/>
      <c r="H55" s="11">
        <v>0</v>
      </c>
      <c r="I55" s="11"/>
      <c r="J55" s="11"/>
      <c r="K55" s="11">
        <v>13650</v>
      </c>
      <c r="L55" s="11"/>
      <c r="M55" s="11"/>
      <c r="N55" s="11"/>
      <c r="O55" s="11">
        <v>14350</v>
      </c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>
        <v>15000</v>
      </c>
      <c r="AA55" s="11"/>
      <c r="AB55" s="11">
        <v>15000</v>
      </c>
      <c r="AC55" s="63"/>
    </row>
    <row r="56" spans="2:29" outlineLevel="1" collapsed="1" x14ac:dyDescent="0.3">
      <c r="B56" s="10" t="s">
        <v>200</v>
      </c>
      <c r="C56" s="11">
        <v>0</v>
      </c>
      <c r="D56" s="11">
        <v>0</v>
      </c>
      <c r="E56" s="11">
        <v>0</v>
      </c>
      <c r="F56" s="11">
        <v>50000</v>
      </c>
      <c r="G56" s="11"/>
      <c r="H56" s="11"/>
      <c r="I56" s="11"/>
      <c r="J56" s="11"/>
      <c r="K56" s="11"/>
      <c r="L56" s="11"/>
      <c r="M56" s="11"/>
      <c r="N56" s="11"/>
      <c r="O56" s="11">
        <v>50000</v>
      </c>
      <c r="P56" s="11"/>
      <c r="Q56" s="11"/>
      <c r="R56" s="11">
        <v>25000</v>
      </c>
      <c r="S56" s="11"/>
      <c r="T56" s="11"/>
      <c r="U56" s="11"/>
      <c r="V56" s="11"/>
      <c r="W56" s="11"/>
      <c r="X56" s="11">
        <v>25000</v>
      </c>
      <c r="Y56" s="11"/>
      <c r="Z56" s="11"/>
      <c r="AA56" s="11"/>
      <c r="AB56" s="11">
        <v>40000</v>
      </c>
      <c r="AC56" s="63"/>
    </row>
    <row r="57" spans="2:29" outlineLevel="1" collapsed="1" x14ac:dyDescent="0.3">
      <c r="B57" s="10" t="s">
        <v>170</v>
      </c>
      <c r="C57" s="11">
        <v>0</v>
      </c>
      <c r="D57" s="11">
        <v>0</v>
      </c>
      <c r="E57" s="11">
        <v>0</v>
      </c>
      <c r="F57" s="11"/>
      <c r="G57" s="11"/>
      <c r="H57" s="11"/>
      <c r="I57" s="11"/>
      <c r="J57" s="11"/>
      <c r="K57" s="11"/>
      <c r="L57" s="11"/>
      <c r="M57" s="11"/>
      <c r="N57" s="11"/>
      <c r="O57" s="11">
        <v>0</v>
      </c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63"/>
    </row>
    <row r="58" spans="2:29" outlineLevel="1" collapsed="1" x14ac:dyDescent="0.3">
      <c r="B58" s="10" t="s">
        <v>71</v>
      </c>
      <c r="C58" s="11">
        <v>191.38</v>
      </c>
      <c r="D58" s="11">
        <v>3289</v>
      </c>
      <c r="E58" s="11">
        <v>19598.900000000001</v>
      </c>
      <c r="F58" s="11"/>
      <c r="G58" s="11">
        <v>8722</v>
      </c>
      <c r="H58" s="11">
        <v>7292.34</v>
      </c>
      <c r="I58" s="11">
        <v>2300</v>
      </c>
      <c r="J58" s="11">
        <v>2302</v>
      </c>
      <c r="K58" s="11">
        <v>402.34</v>
      </c>
      <c r="L58" s="11"/>
      <c r="M58" s="11">
        <v>923</v>
      </c>
      <c r="N58" s="11">
        <v>5188.3</v>
      </c>
      <c r="O58" s="11">
        <v>50209.26</v>
      </c>
      <c r="P58" s="11"/>
      <c r="Q58" s="11"/>
      <c r="R58" s="11"/>
      <c r="S58" s="11"/>
      <c r="T58" s="11"/>
      <c r="U58" s="11">
        <v>25000</v>
      </c>
      <c r="V58" s="11"/>
      <c r="W58" s="11"/>
      <c r="X58" s="11"/>
      <c r="Y58" s="11">
        <v>25000</v>
      </c>
      <c r="Z58" s="11"/>
      <c r="AA58" s="11"/>
      <c r="AB58" s="11">
        <v>50000</v>
      </c>
      <c r="AC58" s="63"/>
    </row>
    <row r="59" spans="2:29" x14ac:dyDescent="0.3">
      <c r="B59" s="8" t="s">
        <v>12</v>
      </c>
      <c r="C59" s="9">
        <v>37050</v>
      </c>
      <c r="D59" s="9">
        <v>35000</v>
      </c>
      <c r="E59" s="9">
        <v>35140.629999999997</v>
      </c>
      <c r="F59" s="9">
        <v>35000</v>
      </c>
      <c r="G59" s="9">
        <v>35000</v>
      </c>
      <c r="H59" s="9">
        <v>44000</v>
      </c>
      <c r="I59" s="9">
        <v>35308.85</v>
      </c>
      <c r="J59" s="9">
        <v>35299</v>
      </c>
      <c r="K59" s="9">
        <v>43283.7</v>
      </c>
      <c r="L59" s="9">
        <v>35000</v>
      </c>
      <c r="M59" s="9">
        <v>40659</v>
      </c>
      <c r="N59" s="9">
        <v>53376</v>
      </c>
      <c r="O59" s="9">
        <v>464117.18</v>
      </c>
      <c r="P59" s="9">
        <f>SUM(P60:P72)</f>
        <v>36500</v>
      </c>
      <c r="Q59" s="9">
        <f t="shared" ref="Q59:AA59" si="10">SUM(Q60:Q72)</f>
        <v>51500</v>
      </c>
      <c r="R59" s="9">
        <f t="shared" si="10"/>
        <v>36500</v>
      </c>
      <c r="S59" s="9">
        <f t="shared" si="10"/>
        <v>36500</v>
      </c>
      <c r="T59" s="9">
        <f t="shared" si="10"/>
        <v>36500</v>
      </c>
      <c r="U59" s="9">
        <f t="shared" si="10"/>
        <v>36500</v>
      </c>
      <c r="V59" s="9">
        <f t="shared" si="10"/>
        <v>36500</v>
      </c>
      <c r="W59" s="9">
        <f t="shared" si="10"/>
        <v>36500</v>
      </c>
      <c r="X59" s="9">
        <f t="shared" si="10"/>
        <v>36500</v>
      </c>
      <c r="Y59" s="9">
        <f t="shared" si="10"/>
        <v>36500</v>
      </c>
      <c r="Z59" s="9">
        <f t="shared" si="10"/>
        <v>36500</v>
      </c>
      <c r="AA59" s="9">
        <f t="shared" si="10"/>
        <v>36500</v>
      </c>
      <c r="AB59" s="9">
        <v>453000</v>
      </c>
      <c r="AC59" s="64">
        <f>SUM(AC48:AC58)</f>
        <v>0</v>
      </c>
    </row>
    <row r="60" spans="2:29" outlineLevel="1" x14ac:dyDescent="0.3">
      <c r="B60" s="10" t="s">
        <v>75</v>
      </c>
      <c r="C60" s="11">
        <v>0</v>
      </c>
      <c r="D60" s="11">
        <v>0</v>
      </c>
      <c r="E60" s="11">
        <v>0</v>
      </c>
      <c r="F60" s="11"/>
      <c r="G60" s="11"/>
      <c r="H60" s="11"/>
      <c r="I60" s="11"/>
      <c r="J60" s="11"/>
      <c r="K60" s="11">
        <v>6000</v>
      </c>
      <c r="L60" s="11"/>
      <c r="M60" s="11"/>
      <c r="N60" s="11"/>
      <c r="O60" s="11">
        <v>6000</v>
      </c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>
        <f t="shared" si="1"/>
        <v>0</v>
      </c>
    </row>
    <row r="61" spans="2:29" outlineLevel="1" collapsed="1" x14ac:dyDescent="0.3">
      <c r="B61" s="10" t="s">
        <v>76</v>
      </c>
      <c r="C61" s="11">
        <v>0</v>
      </c>
      <c r="D61" s="11">
        <v>0</v>
      </c>
      <c r="E61" s="11">
        <v>0</v>
      </c>
      <c r="F61" s="11"/>
      <c r="G61" s="11"/>
      <c r="H61" s="11">
        <v>9000</v>
      </c>
      <c r="I61" s="11"/>
      <c r="J61" s="11"/>
      <c r="K61" s="11">
        <v>0</v>
      </c>
      <c r="L61" s="11"/>
      <c r="M61" s="11">
        <v>5400</v>
      </c>
      <c r="N61" s="11"/>
      <c r="O61" s="11">
        <v>14400</v>
      </c>
      <c r="P61" s="11"/>
      <c r="Q61" s="11">
        <v>15000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>
        <v>15000</v>
      </c>
    </row>
    <row r="62" spans="2:29" outlineLevel="1" collapsed="1" x14ac:dyDescent="0.3">
      <c r="B62" s="10" t="s">
        <v>201</v>
      </c>
      <c r="C62" s="11">
        <v>35000</v>
      </c>
      <c r="D62" s="11">
        <v>35000</v>
      </c>
      <c r="E62" s="11">
        <v>35000</v>
      </c>
      <c r="F62" s="11">
        <v>35000</v>
      </c>
      <c r="G62" s="11">
        <v>35000</v>
      </c>
      <c r="H62" s="11">
        <v>35000</v>
      </c>
      <c r="I62" s="11">
        <v>35000</v>
      </c>
      <c r="J62" s="11">
        <v>35000</v>
      </c>
      <c r="K62" s="11">
        <v>35000</v>
      </c>
      <c r="L62" s="11">
        <v>35000</v>
      </c>
      <c r="M62" s="11">
        <v>35000</v>
      </c>
      <c r="N62" s="11">
        <v>35000</v>
      </c>
      <c r="O62" s="11">
        <v>420000</v>
      </c>
      <c r="P62" s="11">
        <v>35000</v>
      </c>
      <c r="Q62" s="11">
        <v>35000</v>
      </c>
      <c r="R62" s="11">
        <v>35000</v>
      </c>
      <c r="S62" s="11">
        <v>35000</v>
      </c>
      <c r="T62" s="11">
        <v>35000</v>
      </c>
      <c r="U62" s="11">
        <v>35000</v>
      </c>
      <c r="V62" s="11">
        <v>35000</v>
      </c>
      <c r="W62" s="11">
        <v>35000</v>
      </c>
      <c r="X62" s="11">
        <v>35000</v>
      </c>
      <c r="Y62" s="11">
        <v>35000</v>
      </c>
      <c r="Z62" s="11">
        <v>35000</v>
      </c>
      <c r="AA62" s="11">
        <v>35000</v>
      </c>
      <c r="AB62" s="11">
        <f t="shared" si="1"/>
        <v>420000</v>
      </c>
    </row>
    <row r="63" spans="2:29" outlineLevel="1" collapsed="1" x14ac:dyDescent="0.3">
      <c r="B63" s="10" t="s">
        <v>88</v>
      </c>
      <c r="C63" s="11">
        <v>0</v>
      </c>
      <c r="D63" s="11">
        <v>0</v>
      </c>
      <c r="E63" s="11">
        <v>0</v>
      </c>
      <c r="F63" s="11"/>
      <c r="G63" s="11"/>
      <c r="H63" s="11"/>
      <c r="I63" s="11"/>
      <c r="J63" s="11">
        <v>299</v>
      </c>
      <c r="K63" s="11">
        <v>2283.6999999999998</v>
      </c>
      <c r="L63" s="11"/>
      <c r="M63" s="11"/>
      <c r="N63" s="11"/>
      <c r="O63" s="11">
        <v>2582.6999999999998</v>
      </c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>
        <f t="shared" si="1"/>
        <v>0</v>
      </c>
    </row>
    <row r="64" spans="2:29" outlineLevel="1" collapsed="1" x14ac:dyDescent="0.3">
      <c r="B64" s="10" t="s">
        <v>90</v>
      </c>
      <c r="C64" s="11">
        <v>2050</v>
      </c>
      <c r="D64" s="11">
        <v>0</v>
      </c>
      <c r="E64" s="11">
        <v>140.63</v>
      </c>
      <c r="F64" s="11"/>
      <c r="G64" s="11"/>
      <c r="H64" s="11"/>
      <c r="I64" s="11"/>
      <c r="J64" s="11"/>
      <c r="K64" s="11"/>
      <c r="L64" s="11"/>
      <c r="M64" s="11">
        <v>259</v>
      </c>
      <c r="N64" s="11"/>
      <c r="O64" s="11">
        <v>2449.63</v>
      </c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>
        <f t="shared" si="1"/>
        <v>0</v>
      </c>
    </row>
    <row r="65" spans="2:28" outlineLevel="1" collapsed="1" x14ac:dyDescent="0.3">
      <c r="B65" s="10" t="s">
        <v>105</v>
      </c>
      <c r="C65" s="11">
        <v>0</v>
      </c>
      <c r="D65" s="11">
        <v>0</v>
      </c>
      <c r="E65" s="11">
        <v>0</v>
      </c>
      <c r="F65" s="11"/>
      <c r="G65" s="11"/>
      <c r="H65" s="11"/>
      <c r="I65" s="11">
        <v>308.85000000000002</v>
      </c>
      <c r="J65" s="11"/>
      <c r="K65" s="11"/>
      <c r="L65" s="11"/>
      <c r="M65" s="11"/>
      <c r="N65" s="11"/>
      <c r="O65" s="11">
        <v>308.85000000000002</v>
      </c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>
        <f t="shared" si="1"/>
        <v>0</v>
      </c>
    </row>
    <row r="66" spans="2:28" outlineLevel="1" collapsed="1" x14ac:dyDescent="0.3">
      <c r="B66" s="10" t="s">
        <v>109</v>
      </c>
      <c r="C66" s="11">
        <v>0</v>
      </c>
      <c r="D66" s="11">
        <v>0</v>
      </c>
      <c r="E66" s="11">
        <v>0</v>
      </c>
      <c r="F66" s="11"/>
      <c r="G66" s="11"/>
      <c r="H66" s="11"/>
      <c r="I66" s="11"/>
      <c r="J66" s="11"/>
      <c r="K66" s="11"/>
      <c r="L66" s="11"/>
      <c r="M66" s="11"/>
      <c r="N66" s="11"/>
      <c r="O66" s="11">
        <v>0</v>
      </c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>
        <f t="shared" si="1"/>
        <v>0</v>
      </c>
    </row>
    <row r="67" spans="2:28" outlineLevel="1" collapsed="1" x14ac:dyDescent="0.3">
      <c r="B67" s="10" t="s">
        <v>110</v>
      </c>
      <c r="C67" s="11">
        <v>0</v>
      </c>
      <c r="D67" s="11">
        <v>0</v>
      </c>
      <c r="E67" s="11">
        <v>0</v>
      </c>
      <c r="F67" s="11"/>
      <c r="G67" s="11"/>
      <c r="H67" s="11"/>
      <c r="I67" s="11"/>
      <c r="J67" s="11"/>
      <c r="K67" s="11"/>
      <c r="L67" s="11"/>
      <c r="M67" s="11"/>
      <c r="N67" s="11"/>
      <c r="O67" s="11">
        <v>0</v>
      </c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>
        <f t="shared" si="1"/>
        <v>0</v>
      </c>
    </row>
    <row r="68" spans="2:28" outlineLevel="1" collapsed="1" x14ac:dyDescent="0.3">
      <c r="B68" s="10" t="s">
        <v>111</v>
      </c>
      <c r="C68" s="11">
        <v>0</v>
      </c>
      <c r="D68" s="11">
        <v>0</v>
      </c>
      <c r="E68" s="11">
        <v>0</v>
      </c>
      <c r="F68" s="11"/>
      <c r="G68" s="11"/>
      <c r="H68" s="11"/>
      <c r="I68" s="11"/>
      <c r="J68" s="11"/>
      <c r="K68" s="11"/>
      <c r="L68" s="11"/>
      <c r="M68" s="11"/>
      <c r="N68" s="11">
        <v>16099</v>
      </c>
      <c r="O68" s="11">
        <v>16099</v>
      </c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>
        <f t="shared" si="1"/>
        <v>0</v>
      </c>
    </row>
    <row r="69" spans="2:28" outlineLevel="1" collapsed="1" x14ac:dyDescent="0.3">
      <c r="B69" s="10" t="s">
        <v>114</v>
      </c>
      <c r="C69" s="11">
        <v>0</v>
      </c>
      <c r="D69" s="11">
        <v>0</v>
      </c>
      <c r="E69" s="11">
        <v>0</v>
      </c>
      <c r="F69" s="11"/>
      <c r="G69" s="11"/>
      <c r="H69" s="11"/>
      <c r="I69" s="11"/>
      <c r="J69" s="11"/>
      <c r="K69" s="11"/>
      <c r="L69" s="11"/>
      <c r="M69" s="11"/>
      <c r="N69" s="11"/>
      <c r="O69" s="11">
        <v>0</v>
      </c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>
        <f t="shared" si="1"/>
        <v>0</v>
      </c>
    </row>
    <row r="70" spans="2:28" outlineLevel="1" collapsed="1" x14ac:dyDescent="0.3">
      <c r="B70" s="10" t="s">
        <v>202</v>
      </c>
      <c r="C70" s="11">
        <v>0</v>
      </c>
      <c r="D70" s="11">
        <v>0</v>
      </c>
      <c r="E70" s="11">
        <v>0</v>
      </c>
      <c r="F70" s="11"/>
      <c r="G70" s="11"/>
      <c r="H70" s="11"/>
      <c r="I70" s="11"/>
      <c r="J70" s="11"/>
      <c r="K70" s="11"/>
      <c r="L70" s="11"/>
      <c r="M70" s="11"/>
      <c r="N70" s="11"/>
      <c r="O70" s="11">
        <v>0</v>
      </c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>
        <f t="shared" si="1"/>
        <v>0</v>
      </c>
    </row>
    <row r="71" spans="2:28" outlineLevel="1" x14ac:dyDescent="0.3">
      <c r="B71" s="10" t="s">
        <v>117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>
        <v>1000</v>
      </c>
      <c r="Q71" s="11">
        <v>1000</v>
      </c>
      <c r="R71" s="11">
        <v>1000</v>
      </c>
      <c r="S71" s="11">
        <v>1000</v>
      </c>
      <c r="T71" s="11">
        <v>1000</v>
      </c>
      <c r="U71" s="11">
        <v>1000</v>
      </c>
      <c r="V71" s="11">
        <v>1000</v>
      </c>
      <c r="W71" s="11">
        <v>1000</v>
      </c>
      <c r="X71" s="11">
        <v>1000</v>
      </c>
      <c r="Y71" s="11">
        <v>1000</v>
      </c>
      <c r="Z71" s="11">
        <v>1000</v>
      </c>
      <c r="AA71" s="11">
        <v>1000</v>
      </c>
      <c r="AB71" s="11">
        <f t="shared" si="1"/>
        <v>12000</v>
      </c>
    </row>
    <row r="72" spans="2:28" outlineLevel="1" collapsed="1" x14ac:dyDescent="0.3">
      <c r="B72" s="10" t="s">
        <v>118</v>
      </c>
      <c r="C72" s="11">
        <v>0</v>
      </c>
      <c r="D72" s="11">
        <v>0</v>
      </c>
      <c r="E72" s="11">
        <v>0</v>
      </c>
      <c r="F72" s="11"/>
      <c r="G72" s="11"/>
      <c r="H72" s="11"/>
      <c r="I72" s="11"/>
      <c r="J72" s="11"/>
      <c r="K72" s="11"/>
      <c r="L72" s="11"/>
      <c r="M72" s="11"/>
      <c r="N72" s="11">
        <v>2277</v>
      </c>
      <c r="O72" s="11">
        <v>2277</v>
      </c>
      <c r="P72" s="11">
        <v>500</v>
      </c>
      <c r="Q72" s="11">
        <v>500</v>
      </c>
      <c r="R72" s="11">
        <v>500</v>
      </c>
      <c r="S72" s="11">
        <v>500</v>
      </c>
      <c r="T72" s="11">
        <v>500</v>
      </c>
      <c r="U72" s="11">
        <v>500</v>
      </c>
      <c r="V72" s="11">
        <v>500</v>
      </c>
      <c r="W72" s="11">
        <v>500</v>
      </c>
      <c r="X72" s="11">
        <v>500</v>
      </c>
      <c r="Y72" s="11">
        <v>500</v>
      </c>
      <c r="Z72" s="11">
        <v>500</v>
      </c>
      <c r="AA72" s="11">
        <v>500</v>
      </c>
      <c r="AB72" s="11">
        <f t="shared" si="1"/>
        <v>6000</v>
      </c>
    </row>
    <row r="73" spans="2:28" x14ac:dyDescent="0.3">
      <c r="B73" s="8" t="s">
        <v>13</v>
      </c>
      <c r="C73" s="9">
        <v>21780.5</v>
      </c>
      <c r="D73" s="9">
        <v>41338</v>
      </c>
      <c r="E73" s="9">
        <v>24410</v>
      </c>
      <c r="F73" s="9">
        <v>0</v>
      </c>
      <c r="G73" s="9">
        <v>3430</v>
      </c>
      <c r="H73" s="9">
        <v>4554</v>
      </c>
      <c r="I73" s="9">
        <v>9159</v>
      </c>
      <c r="J73" s="9">
        <v>0</v>
      </c>
      <c r="K73" s="9">
        <v>18235</v>
      </c>
      <c r="L73" s="9">
        <v>0</v>
      </c>
      <c r="M73" s="9">
        <v>0</v>
      </c>
      <c r="N73" s="9">
        <v>0</v>
      </c>
      <c r="O73" s="9">
        <v>122906.5</v>
      </c>
      <c r="P73" s="9">
        <f>SUM(P74:P77)</f>
        <v>10000</v>
      </c>
      <c r="Q73" s="9">
        <f t="shared" ref="Q73:AA73" si="11">SUM(Q74:Q77)</f>
        <v>10000</v>
      </c>
      <c r="R73" s="9">
        <f t="shared" si="11"/>
        <v>10000</v>
      </c>
      <c r="S73" s="9">
        <f t="shared" si="11"/>
        <v>10000</v>
      </c>
      <c r="T73" s="9">
        <f t="shared" si="11"/>
        <v>10000</v>
      </c>
      <c r="U73" s="9">
        <f t="shared" si="11"/>
        <v>10000</v>
      </c>
      <c r="V73" s="9">
        <v>10000</v>
      </c>
      <c r="W73" s="9">
        <f t="shared" si="11"/>
        <v>10000</v>
      </c>
      <c r="X73" s="9">
        <f t="shared" si="11"/>
        <v>10000</v>
      </c>
      <c r="Y73" s="9">
        <f t="shared" si="11"/>
        <v>10000</v>
      </c>
      <c r="Z73" s="9">
        <f t="shared" si="11"/>
        <v>10000</v>
      </c>
      <c r="AA73" s="9">
        <f t="shared" si="11"/>
        <v>10000</v>
      </c>
      <c r="AB73" s="9">
        <v>120000</v>
      </c>
    </row>
    <row r="74" spans="2:28" outlineLevel="1" x14ac:dyDescent="0.3">
      <c r="B74" s="10" t="s">
        <v>121</v>
      </c>
      <c r="C74" s="11">
        <v>0</v>
      </c>
      <c r="D74" s="11">
        <v>0</v>
      </c>
      <c r="E74" s="11">
        <v>0</v>
      </c>
      <c r="F74" s="11"/>
      <c r="G74" s="11"/>
      <c r="H74" s="11"/>
      <c r="I74" s="11"/>
      <c r="J74" s="11"/>
      <c r="K74" s="11">
        <v>0</v>
      </c>
      <c r="L74" s="11"/>
      <c r="M74" s="11"/>
      <c r="N74" s="11"/>
      <c r="O74" s="11">
        <v>0</v>
      </c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>
        <f t="shared" si="1"/>
        <v>0</v>
      </c>
    </row>
    <row r="75" spans="2:28" outlineLevel="1" collapsed="1" x14ac:dyDescent="0.3">
      <c r="B75" s="10" t="s">
        <v>122</v>
      </c>
      <c r="C75" s="11">
        <v>0</v>
      </c>
      <c r="D75" s="11">
        <v>41338</v>
      </c>
      <c r="E75" s="11">
        <v>0</v>
      </c>
      <c r="F75" s="11"/>
      <c r="G75" s="11"/>
      <c r="H75" s="11"/>
      <c r="I75" s="11"/>
      <c r="J75" s="11"/>
      <c r="K75" s="11"/>
      <c r="L75" s="11"/>
      <c r="M75" s="11"/>
      <c r="N75" s="11"/>
      <c r="O75" s="11">
        <v>41338</v>
      </c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>
        <f t="shared" ref="AB75:AB96" si="12">SUM(P75:AA75)</f>
        <v>0</v>
      </c>
    </row>
    <row r="76" spans="2:28" outlineLevel="1" collapsed="1" x14ac:dyDescent="0.3">
      <c r="B76" s="10" t="s">
        <v>123</v>
      </c>
      <c r="C76" s="11">
        <v>21780.5</v>
      </c>
      <c r="D76" s="11">
        <v>0</v>
      </c>
      <c r="E76" s="11">
        <v>24410</v>
      </c>
      <c r="F76" s="11"/>
      <c r="G76" s="11">
        <v>3430</v>
      </c>
      <c r="H76" s="11"/>
      <c r="I76" s="11">
        <v>9159</v>
      </c>
      <c r="J76" s="11"/>
      <c r="K76" s="11">
        <v>18235</v>
      </c>
      <c r="L76" s="11"/>
      <c r="M76" s="11"/>
      <c r="N76" s="11"/>
      <c r="O76" s="11">
        <v>77014.5</v>
      </c>
      <c r="P76" s="11">
        <v>10000</v>
      </c>
      <c r="Q76" s="11">
        <v>10000</v>
      </c>
      <c r="R76" s="11">
        <v>10000</v>
      </c>
      <c r="S76" s="11">
        <v>10000</v>
      </c>
      <c r="T76" s="11">
        <v>10000</v>
      </c>
      <c r="U76" s="11">
        <v>10000</v>
      </c>
      <c r="V76" s="11">
        <v>10000</v>
      </c>
      <c r="W76" s="11">
        <v>10000</v>
      </c>
      <c r="X76" s="11">
        <v>10000</v>
      </c>
      <c r="Y76" s="11">
        <v>10000</v>
      </c>
      <c r="Z76" s="11">
        <v>10000</v>
      </c>
      <c r="AA76" s="11">
        <v>10000</v>
      </c>
      <c r="AB76" s="11">
        <f t="shared" si="12"/>
        <v>120000</v>
      </c>
    </row>
    <row r="77" spans="2:28" outlineLevel="1" collapsed="1" x14ac:dyDescent="0.3">
      <c r="B77" s="10" t="s">
        <v>125</v>
      </c>
      <c r="C77" s="11">
        <v>0</v>
      </c>
      <c r="D77" s="11">
        <v>0</v>
      </c>
      <c r="E77" s="11">
        <v>0</v>
      </c>
      <c r="F77" s="11"/>
      <c r="G77" s="11"/>
      <c r="H77" s="11">
        <v>4554</v>
      </c>
      <c r="I77" s="11"/>
      <c r="J77" s="11"/>
      <c r="K77" s="11"/>
      <c r="L77" s="11"/>
      <c r="M77" s="11"/>
      <c r="N77" s="11"/>
      <c r="O77" s="11">
        <v>4554</v>
      </c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>
        <f t="shared" si="12"/>
        <v>0</v>
      </c>
    </row>
    <row r="78" spans="2:28" x14ac:dyDescent="0.3">
      <c r="B78" s="8" t="s">
        <v>14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>
        <f t="shared" si="12"/>
        <v>0</v>
      </c>
    </row>
    <row r="79" spans="2:28" x14ac:dyDescent="0.3">
      <c r="B79" s="8" t="s">
        <v>15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>
        <f t="shared" si="12"/>
        <v>0</v>
      </c>
    </row>
    <row r="80" spans="2:28" collapsed="1" x14ac:dyDescent="0.3">
      <c r="B80" s="8" t="s">
        <v>16</v>
      </c>
      <c r="C80" s="9">
        <v>0</v>
      </c>
      <c r="D80" s="9">
        <v>646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646</v>
      </c>
      <c r="P80" s="9">
        <f>P81</f>
        <v>0</v>
      </c>
      <c r="Q80" s="9">
        <f t="shared" ref="Q80:AA80" si="13">Q81</f>
        <v>0</v>
      </c>
      <c r="R80" s="9">
        <f t="shared" si="13"/>
        <v>0</v>
      </c>
      <c r="S80" s="9">
        <f t="shared" si="13"/>
        <v>0</v>
      </c>
      <c r="T80" s="9">
        <f t="shared" si="13"/>
        <v>0</v>
      </c>
      <c r="U80" s="9">
        <f t="shared" si="13"/>
        <v>0</v>
      </c>
      <c r="V80" s="9">
        <f t="shared" si="13"/>
        <v>0</v>
      </c>
      <c r="W80" s="9">
        <f t="shared" si="13"/>
        <v>0</v>
      </c>
      <c r="X80" s="9">
        <f t="shared" si="13"/>
        <v>0</v>
      </c>
      <c r="Y80" s="9">
        <f t="shared" si="13"/>
        <v>0</v>
      </c>
      <c r="Z80" s="9">
        <f t="shared" si="13"/>
        <v>0</v>
      </c>
      <c r="AA80" s="9">
        <f t="shared" si="13"/>
        <v>0</v>
      </c>
      <c r="AB80" s="9">
        <f t="shared" si="12"/>
        <v>0</v>
      </c>
    </row>
    <row r="81" spans="2:28" outlineLevel="1" x14ac:dyDescent="0.3">
      <c r="B81" s="10" t="s">
        <v>127</v>
      </c>
      <c r="C81" s="11">
        <v>0</v>
      </c>
      <c r="D81" s="11">
        <v>646</v>
      </c>
      <c r="E81" s="11">
        <v>0</v>
      </c>
      <c r="F81" s="11"/>
      <c r="G81" s="11"/>
      <c r="H81" s="11"/>
      <c r="I81" s="11"/>
      <c r="J81" s="11"/>
      <c r="K81" s="11"/>
      <c r="L81" s="11"/>
      <c r="M81" s="11"/>
      <c r="N81" s="11"/>
      <c r="O81" s="11">
        <v>646</v>
      </c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>
        <f t="shared" si="12"/>
        <v>0</v>
      </c>
    </row>
    <row r="82" spans="2:28" x14ac:dyDescent="0.3">
      <c r="B82" s="8" t="s">
        <v>5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>
        <f t="shared" si="12"/>
        <v>0</v>
      </c>
    </row>
    <row r="83" spans="2:28" collapsed="1" x14ac:dyDescent="0.3">
      <c r="B83" s="8" t="s">
        <v>17</v>
      </c>
      <c r="C83" s="9">
        <v>1519.06</v>
      </c>
      <c r="D83" s="9">
        <v>433.58</v>
      </c>
      <c r="E83" s="9">
        <v>112</v>
      </c>
      <c r="F83" s="9">
        <v>4234</v>
      </c>
      <c r="G83" s="9">
        <v>0</v>
      </c>
      <c r="H83" s="9">
        <v>23000</v>
      </c>
      <c r="I83" s="9">
        <v>25578.629999999997</v>
      </c>
      <c r="J83" s="9">
        <v>14204.38</v>
      </c>
      <c r="K83" s="9">
        <v>579.11</v>
      </c>
      <c r="L83" s="9">
        <v>6500</v>
      </c>
      <c r="M83" s="9">
        <v>1612.23</v>
      </c>
      <c r="N83" s="9">
        <v>35</v>
      </c>
      <c r="O83" s="9">
        <v>77807.989999999991</v>
      </c>
      <c r="P83" s="9">
        <f>SUM(P84:P90)</f>
        <v>0</v>
      </c>
      <c r="Q83" s="9">
        <f t="shared" ref="Q83:AA83" si="14">SUM(Q84:Q90)</f>
        <v>0</v>
      </c>
      <c r="R83" s="9">
        <v>80000</v>
      </c>
      <c r="S83" s="9">
        <f t="shared" si="14"/>
        <v>0</v>
      </c>
      <c r="T83" s="9">
        <f t="shared" si="14"/>
        <v>0</v>
      </c>
      <c r="U83" s="9">
        <f t="shared" si="14"/>
        <v>0</v>
      </c>
      <c r="V83" s="9">
        <f t="shared" si="14"/>
        <v>0</v>
      </c>
      <c r="W83" s="9">
        <f t="shared" si="14"/>
        <v>0</v>
      </c>
      <c r="X83" s="9">
        <f t="shared" si="14"/>
        <v>0</v>
      </c>
      <c r="Y83" s="9">
        <f t="shared" si="14"/>
        <v>0</v>
      </c>
      <c r="Z83" s="9">
        <f t="shared" si="14"/>
        <v>0</v>
      </c>
      <c r="AA83" s="9">
        <f t="shared" si="14"/>
        <v>0</v>
      </c>
      <c r="AB83" s="9">
        <v>80000</v>
      </c>
    </row>
    <row r="84" spans="2:28" outlineLevel="1" x14ac:dyDescent="0.3">
      <c r="B84" s="10" t="s">
        <v>130</v>
      </c>
      <c r="C84" s="11">
        <v>0</v>
      </c>
      <c r="D84" s="11">
        <v>0</v>
      </c>
      <c r="E84" s="11">
        <v>0</v>
      </c>
      <c r="F84" s="11"/>
      <c r="G84" s="11"/>
      <c r="H84" s="11">
        <v>23000</v>
      </c>
      <c r="I84" s="11">
        <v>25200</v>
      </c>
      <c r="J84" s="11">
        <v>14200</v>
      </c>
      <c r="K84" s="11"/>
      <c r="L84" s="11"/>
      <c r="M84" s="11"/>
      <c r="N84" s="11"/>
      <c r="O84" s="11">
        <v>62400</v>
      </c>
      <c r="P84" s="11"/>
      <c r="Q84" s="11"/>
      <c r="R84" s="11">
        <v>80000</v>
      </c>
      <c r="S84" s="11"/>
      <c r="T84" s="11"/>
      <c r="U84" s="11"/>
      <c r="V84" s="11"/>
      <c r="W84" s="11"/>
      <c r="X84" s="11"/>
      <c r="Y84" s="11"/>
      <c r="Z84" s="11"/>
      <c r="AA84" s="11"/>
      <c r="AB84" s="11">
        <v>80000</v>
      </c>
    </row>
    <row r="85" spans="2:28" outlineLevel="1" collapsed="1" x14ac:dyDescent="0.3">
      <c r="B85" s="10" t="s">
        <v>131</v>
      </c>
      <c r="C85" s="11">
        <v>0</v>
      </c>
      <c r="D85" s="11">
        <v>0</v>
      </c>
      <c r="E85" s="11">
        <v>0</v>
      </c>
      <c r="F85" s="11"/>
      <c r="G85" s="11"/>
      <c r="H85" s="11"/>
      <c r="I85" s="11">
        <v>-0.33</v>
      </c>
      <c r="J85" s="11"/>
      <c r="K85" s="11"/>
      <c r="L85" s="11"/>
      <c r="M85" s="11"/>
      <c r="N85" s="11"/>
      <c r="O85" s="11">
        <v>-0.33</v>
      </c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>
        <f t="shared" si="12"/>
        <v>0</v>
      </c>
    </row>
    <row r="86" spans="2:28" outlineLevel="1" collapsed="1" x14ac:dyDescent="0.3">
      <c r="B86" s="10" t="s">
        <v>132</v>
      </c>
      <c r="C86" s="11">
        <v>0</v>
      </c>
      <c r="D86" s="11">
        <v>0</v>
      </c>
      <c r="E86" s="11">
        <v>0</v>
      </c>
      <c r="F86" s="11"/>
      <c r="G86" s="11"/>
      <c r="H86" s="11"/>
      <c r="I86" s="11"/>
      <c r="J86" s="11"/>
      <c r="K86" s="11"/>
      <c r="L86" s="11"/>
      <c r="M86" s="11"/>
      <c r="N86" s="11"/>
      <c r="O86" s="11">
        <v>0</v>
      </c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>
        <f t="shared" si="12"/>
        <v>0</v>
      </c>
    </row>
    <row r="87" spans="2:28" outlineLevel="1" collapsed="1" x14ac:dyDescent="0.3">
      <c r="B87" s="10" t="s">
        <v>133</v>
      </c>
      <c r="C87" s="11">
        <v>0</v>
      </c>
      <c r="D87" s="11">
        <v>433.58</v>
      </c>
      <c r="E87" s="11">
        <v>112</v>
      </c>
      <c r="F87" s="11">
        <v>28</v>
      </c>
      <c r="G87" s="11"/>
      <c r="H87" s="11"/>
      <c r="I87" s="11"/>
      <c r="J87" s="11"/>
      <c r="K87" s="11"/>
      <c r="L87" s="11"/>
      <c r="M87" s="11"/>
      <c r="N87" s="11"/>
      <c r="O87" s="11">
        <v>573.57999999999993</v>
      </c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>
        <f t="shared" si="12"/>
        <v>0</v>
      </c>
    </row>
    <row r="88" spans="2:28" outlineLevel="1" collapsed="1" x14ac:dyDescent="0.3">
      <c r="B88" s="10" t="s">
        <v>134</v>
      </c>
      <c r="C88" s="11">
        <v>1519.06</v>
      </c>
      <c r="D88" s="11">
        <v>0</v>
      </c>
      <c r="E88" s="11">
        <v>0</v>
      </c>
      <c r="F88" s="11"/>
      <c r="G88" s="11"/>
      <c r="H88" s="11"/>
      <c r="I88" s="11">
        <v>18.96</v>
      </c>
      <c r="J88" s="11">
        <v>4.38</v>
      </c>
      <c r="K88" s="11">
        <v>579.11</v>
      </c>
      <c r="L88" s="11"/>
      <c r="M88" s="11">
        <v>412.23</v>
      </c>
      <c r="N88" s="11"/>
      <c r="O88" s="11">
        <v>2533.7400000000002</v>
      </c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>
        <f t="shared" si="12"/>
        <v>0</v>
      </c>
    </row>
    <row r="89" spans="2:28" outlineLevel="1" collapsed="1" x14ac:dyDescent="0.3">
      <c r="B89" s="10" t="s">
        <v>135</v>
      </c>
      <c r="C89" s="11">
        <v>0</v>
      </c>
      <c r="D89" s="11">
        <v>0</v>
      </c>
      <c r="E89" s="11">
        <v>0</v>
      </c>
      <c r="F89" s="11"/>
      <c r="G89" s="11"/>
      <c r="H89" s="11"/>
      <c r="I89" s="11"/>
      <c r="J89" s="11"/>
      <c r="K89" s="11"/>
      <c r="L89" s="11"/>
      <c r="M89" s="11"/>
      <c r="N89" s="11">
        <v>35</v>
      </c>
      <c r="O89" s="11">
        <v>35</v>
      </c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>
        <f t="shared" si="12"/>
        <v>0</v>
      </c>
    </row>
    <row r="90" spans="2:28" outlineLevel="1" collapsed="1" x14ac:dyDescent="0.3">
      <c r="B90" s="10" t="s">
        <v>203</v>
      </c>
      <c r="C90" s="11">
        <v>0</v>
      </c>
      <c r="D90" s="11">
        <v>0</v>
      </c>
      <c r="E90" s="11">
        <v>0</v>
      </c>
      <c r="F90" s="11">
        <v>4206</v>
      </c>
      <c r="G90" s="11"/>
      <c r="H90" s="11"/>
      <c r="I90" s="11">
        <v>360</v>
      </c>
      <c r="J90" s="11"/>
      <c r="K90" s="11"/>
      <c r="L90" s="11">
        <v>6500</v>
      </c>
      <c r="M90" s="11">
        <v>1200</v>
      </c>
      <c r="N90" s="11"/>
      <c r="O90" s="11">
        <v>12266</v>
      </c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>
        <f t="shared" si="12"/>
        <v>0</v>
      </c>
    </row>
    <row r="91" spans="2:28" s="62" customFormat="1" x14ac:dyDescent="0.3">
      <c r="B91" s="15" t="s">
        <v>18</v>
      </c>
      <c r="C91" s="16">
        <v>121524.94</v>
      </c>
      <c r="D91" s="16">
        <v>132681.57999999999</v>
      </c>
      <c r="E91" s="16">
        <v>210415.77000000002</v>
      </c>
      <c r="F91" s="16">
        <v>141510.20000000001</v>
      </c>
      <c r="G91" s="16">
        <v>53855.67</v>
      </c>
      <c r="H91" s="16">
        <v>190587.45</v>
      </c>
      <c r="I91" s="16">
        <v>219161.68</v>
      </c>
      <c r="J91" s="16">
        <v>198515.96000000002</v>
      </c>
      <c r="K91" s="16">
        <v>270815.5</v>
      </c>
      <c r="L91" s="16">
        <v>95703.8</v>
      </c>
      <c r="M91" s="16">
        <v>142635.80000000002</v>
      </c>
      <c r="N91" s="16">
        <v>194083.25</v>
      </c>
      <c r="O91" s="16">
        <v>1971491.6</v>
      </c>
      <c r="P91" s="16">
        <f>P34+P47+P59+P73+P78+P79+P80+P82+P83</f>
        <v>170259.317412</v>
      </c>
      <c r="Q91" s="16">
        <f t="shared" ref="Q91:AB91" si="15">Q34+Q47+Q59+Q73+Q78+Q79+Q80+Q82+Q83</f>
        <v>185259.317412</v>
      </c>
      <c r="R91" s="16">
        <f t="shared" si="15"/>
        <v>348030.31741200003</v>
      </c>
      <c r="S91" s="16">
        <f t="shared" si="15"/>
        <v>253592.317412</v>
      </c>
      <c r="T91" s="16">
        <f t="shared" si="15"/>
        <v>193593.62879400002</v>
      </c>
      <c r="U91" s="16">
        <f t="shared" si="15"/>
        <v>276364.62879400002</v>
      </c>
      <c r="V91" s="16">
        <f t="shared" si="15"/>
        <v>117533.628794</v>
      </c>
      <c r="W91" s="16">
        <f t="shared" si="15"/>
        <v>233593.62879400002</v>
      </c>
      <c r="X91" s="16">
        <f t="shared" si="15"/>
        <v>276364.62879400002</v>
      </c>
      <c r="Y91" s="16">
        <f t="shared" si="15"/>
        <v>218593.62879400002</v>
      </c>
      <c r="Z91" s="16">
        <f t="shared" si="15"/>
        <v>185260.62879400002</v>
      </c>
      <c r="AA91" s="16">
        <f t="shared" si="15"/>
        <v>228031.62879400002</v>
      </c>
      <c r="AB91" s="16">
        <f t="shared" si="15"/>
        <v>2676482</v>
      </c>
    </row>
    <row r="92" spans="2:28" x14ac:dyDescent="0.3">
      <c r="B92" s="18"/>
      <c r="C92" s="18">
        <v>0</v>
      </c>
      <c r="D92" s="18">
        <v>0</v>
      </c>
      <c r="E92" s="18">
        <v>0</v>
      </c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2:28" x14ac:dyDescent="0.3">
      <c r="B93" s="17"/>
      <c r="C93" s="17">
        <v>0</v>
      </c>
      <c r="D93" s="17">
        <v>0</v>
      </c>
      <c r="E93" s="17">
        <v>0</v>
      </c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</row>
    <row r="94" spans="2:28" collapsed="1" x14ac:dyDescent="0.3">
      <c r="B94" s="8" t="s">
        <v>19</v>
      </c>
      <c r="C94" s="9">
        <v>0</v>
      </c>
      <c r="D94" s="9">
        <v>0</v>
      </c>
      <c r="E94" s="9">
        <v>-202.54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191.01</v>
      </c>
      <c r="O94" s="9">
        <v>-11.530000000000001</v>
      </c>
      <c r="P94" s="9">
        <f>SUM(P95:P96)</f>
        <v>0</v>
      </c>
      <c r="Q94" s="9">
        <f t="shared" ref="Q94:AA94" si="16">SUM(Q95:Q96)</f>
        <v>0</v>
      </c>
      <c r="R94" s="9">
        <f t="shared" si="16"/>
        <v>0</v>
      </c>
      <c r="S94" s="9">
        <f t="shared" si="16"/>
        <v>0</v>
      </c>
      <c r="T94" s="9">
        <f t="shared" si="16"/>
        <v>0</v>
      </c>
      <c r="U94" s="9">
        <f t="shared" si="16"/>
        <v>0</v>
      </c>
      <c r="V94" s="9">
        <f t="shared" si="16"/>
        <v>0</v>
      </c>
      <c r="W94" s="9">
        <f t="shared" si="16"/>
        <v>0</v>
      </c>
      <c r="X94" s="9">
        <f t="shared" si="16"/>
        <v>0</v>
      </c>
      <c r="Y94" s="9">
        <f t="shared" si="16"/>
        <v>0</v>
      </c>
      <c r="Z94" s="9">
        <f t="shared" si="16"/>
        <v>0</v>
      </c>
      <c r="AA94" s="9">
        <f t="shared" si="16"/>
        <v>0</v>
      </c>
      <c r="AB94" s="9">
        <f t="shared" si="12"/>
        <v>0</v>
      </c>
    </row>
    <row r="95" spans="2:28" outlineLevel="1" x14ac:dyDescent="0.3">
      <c r="B95" s="10" t="s">
        <v>204</v>
      </c>
      <c r="C95" s="11">
        <v>0</v>
      </c>
      <c r="D95" s="11">
        <v>0</v>
      </c>
      <c r="E95" s="11">
        <v>0</v>
      </c>
      <c r="F95" s="11"/>
      <c r="G95" s="11"/>
      <c r="H95" s="11"/>
      <c r="I95" s="11"/>
      <c r="J95" s="11"/>
      <c r="K95" s="11"/>
      <c r="L95" s="11"/>
      <c r="M95" s="11"/>
      <c r="N95" s="11"/>
      <c r="O95" s="11">
        <v>0</v>
      </c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>
        <f t="shared" si="12"/>
        <v>0</v>
      </c>
    </row>
    <row r="96" spans="2:28" outlineLevel="1" collapsed="1" x14ac:dyDescent="0.3">
      <c r="B96" s="10" t="s">
        <v>140</v>
      </c>
      <c r="C96" s="11">
        <v>0</v>
      </c>
      <c r="D96" s="11">
        <v>0</v>
      </c>
      <c r="E96" s="11">
        <v>0</v>
      </c>
      <c r="F96" s="11"/>
      <c r="G96" s="11"/>
      <c r="H96" s="11"/>
      <c r="I96" s="11"/>
      <c r="J96" s="11"/>
      <c r="K96" s="11"/>
      <c r="L96" s="11"/>
      <c r="M96" s="11"/>
      <c r="N96" s="11">
        <v>191.01</v>
      </c>
      <c r="O96" s="11">
        <v>191.01</v>
      </c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>
        <f t="shared" si="12"/>
        <v>0</v>
      </c>
    </row>
    <row r="97" spans="2:28" s="62" customFormat="1" ht="16.2" thickBot="1" x14ac:dyDescent="0.35">
      <c r="B97" s="12" t="s">
        <v>20</v>
      </c>
      <c r="C97" s="13">
        <v>-4255.5800000000017</v>
      </c>
      <c r="D97" s="13">
        <v>-222413.25000000003</v>
      </c>
      <c r="E97" s="13">
        <v>-50583.769999999982</v>
      </c>
      <c r="F97" s="13">
        <v>-125912.79999999999</v>
      </c>
      <c r="G97" s="13">
        <v>45626.5</v>
      </c>
      <c r="H97" s="13">
        <v>-64622.899999999994</v>
      </c>
      <c r="I97" s="13">
        <v>120816.68</v>
      </c>
      <c r="J97" s="13">
        <v>72148.35000000002</v>
      </c>
      <c r="K97" s="13">
        <v>-172303.88</v>
      </c>
      <c r="L97" s="13">
        <v>92327.7</v>
      </c>
      <c r="M97" s="13">
        <v>65756.35000000002</v>
      </c>
      <c r="N97" s="13">
        <v>41408.80999999999</v>
      </c>
      <c r="O97" s="13">
        <v>-202007.78999999986</v>
      </c>
      <c r="P97" s="13">
        <f>P30+P91+P94</f>
        <v>148259.317412</v>
      </c>
      <c r="Q97" s="13">
        <f t="shared" ref="Q97:AB97" si="17">Q30+Q91+Q94</f>
        <v>-276740.68258799997</v>
      </c>
      <c r="R97" s="13">
        <f t="shared" si="17"/>
        <v>326030.31741200003</v>
      </c>
      <c r="S97" s="13">
        <f t="shared" si="17"/>
        <v>99592.317412000004</v>
      </c>
      <c r="T97" s="13">
        <f t="shared" si="17"/>
        <v>119593.62879400002</v>
      </c>
      <c r="U97" s="13">
        <f t="shared" si="17"/>
        <v>-522635.37120599998</v>
      </c>
      <c r="V97" s="13">
        <f t="shared" si="17"/>
        <v>117533.628794</v>
      </c>
      <c r="W97" s="13">
        <f t="shared" si="17"/>
        <v>-156406.37120599998</v>
      </c>
      <c r="X97" s="13">
        <f t="shared" si="17"/>
        <v>252364.62879400002</v>
      </c>
      <c r="Y97" s="13">
        <f t="shared" si="17"/>
        <v>-44505.371205999982</v>
      </c>
      <c r="Z97" s="13">
        <f t="shared" si="17"/>
        <v>163260.62879400002</v>
      </c>
      <c r="AA97" s="13">
        <f t="shared" si="17"/>
        <v>-223608.37120599998</v>
      </c>
      <c r="AB97" s="13">
        <f t="shared" si="17"/>
        <v>-9257</v>
      </c>
    </row>
    <row r="98" spans="2:28" ht="15" thickTop="1" x14ac:dyDescent="0.3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61528-FD6C-4074-A53A-67C4FC3733A4}">
  <dimension ref="B2:AB1000"/>
  <sheetViews>
    <sheetView workbookViewId="0">
      <selection activeCell="B69" sqref="B69"/>
    </sheetView>
  </sheetViews>
  <sheetFormatPr baseColWidth="10" defaultColWidth="14.44140625" defaultRowHeight="14.4" outlineLevelRow="1" outlineLevelCol="1" x14ac:dyDescent="0.3"/>
  <cols>
    <col min="1" max="1" width="10.6640625" customWidth="1"/>
    <col min="2" max="2" width="58.44140625" customWidth="1"/>
    <col min="3" max="3" width="9.33203125" hidden="1" customWidth="1" outlineLevel="1"/>
    <col min="4" max="5" width="11.109375" hidden="1" customWidth="1" outlineLevel="1"/>
    <col min="6" max="6" width="10" hidden="1" customWidth="1" outlineLevel="1"/>
    <col min="7" max="7" width="8.88671875" hidden="1" customWidth="1" outlineLevel="1"/>
    <col min="8" max="11" width="9.33203125" hidden="1" customWidth="1" outlineLevel="1"/>
    <col min="12" max="12" width="10" hidden="1" customWidth="1" outlineLevel="1"/>
    <col min="13" max="13" width="11.109375" hidden="1" customWidth="1" outlineLevel="1"/>
    <col min="14" max="14" width="10" hidden="1" customWidth="1" outlineLevel="1"/>
    <col min="15" max="15" width="12" customWidth="1" collapsed="1"/>
    <col min="16" max="16" width="8.6640625" customWidth="1" outlineLevel="1"/>
    <col min="17" max="17" width="9.109375" customWidth="1" outlineLevel="1"/>
    <col min="18" max="18" width="9.88671875" customWidth="1" outlineLevel="1"/>
    <col min="19" max="20" width="8.6640625" customWidth="1" outlineLevel="1"/>
    <col min="21" max="21" width="9.33203125" customWidth="1" outlineLevel="1"/>
    <col min="22" max="22" width="8.6640625" customWidth="1" outlineLevel="1"/>
    <col min="23" max="23" width="9.88671875" customWidth="1" outlineLevel="1"/>
    <col min="24" max="24" width="12.109375" customWidth="1" outlineLevel="1"/>
    <col min="25" max="25" width="11.109375" customWidth="1" outlineLevel="1"/>
    <col min="26" max="26" width="11.88671875" customWidth="1" outlineLevel="1"/>
    <col min="27" max="27" width="11.44140625" customWidth="1" outlineLevel="1"/>
    <col min="28" max="28" width="14.88671875" customWidth="1"/>
  </cols>
  <sheetData>
    <row r="2" spans="2:28" ht="25.8" x14ac:dyDescent="0.5">
      <c r="B2" s="27" t="s">
        <v>0</v>
      </c>
    </row>
    <row r="4" spans="2:28" ht="15.6" x14ac:dyDescent="0.3">
      <c r="B4" s="28" t="s">
        <v>172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 t="s">
        <v>1</v>
      </c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 t="s">
        <v>154</v>
      </c>
    </row>
    <row r="5" spans="2:28" ht="31.2" x14ac:dyDescent="0.3">
      <c r="B5" s="30"/>
      <c r="C5" s="31">
        <v>44470</v>
      </c>
      <c r="D5" s="31">
        <v>44501</v>
      </c>
      <c r="E5" s="31">
        <v>44531</v>
      </c>
      <c r="F5" s="31">
        <v>44562</v>
      </c>
      <c r="G5" s="31">
        <v>44593</v>
      </c>
      <c r="H5" s="31">
        <v>44621</v>
      </c>
      <c r="I5" s="31">
        <v>44652</v>
      </c>
      <c r="J5" s="31">
        <v>44682</v>
      </c>
      <c r="K5" s="31">
        <v>44713</v>
      </c>
      <c r="L5" s="31">
        <v>44743</v>
      </c>
      <c r="M5" s="31">
        <v>44774</v>
      </c>
      <c r="N5" s="31">
        <v>44805</v>
      </c>
      <c r="O5" s="31" t="s">
        <v>141</v>
      </c>
      <c r="P5" s="32" t="s">
        <v>142</v>
      </c>
      <c r="Q5" s="32" t="s">
        <v>143</v>
      </c>
      <c r="R5" s="32" t="s">
        <v>144</v>
      </c>
      <c r="S5" s="32" t="s">
        <v>145</v>
      </c>
      <c r="T5" s="32" t="s">
        <v>146</v>
      </c>
      <c r="U5" s="32" t="s">
        <v>147</v>
      </c>
      <c r="V5" s="32" t="s">
        <v>148</v>
      </c>
      <c r="W5" s="32" t="s">
        <v>149</v>
      </c>
      <c r="X5" s="32" t="s">
        <v>150</v>
      </c>
      <c r="Y5" s="32" t="s">
        <v>151</v>
      </c>
      <c r="Z5" s="32" t="s">
        <v>152</v>
      </c>
      <c r="AA5" s="32" t="s">
        <v>153</v>
      </c>
      <c r="AB5" s="32" t="s">
        <v>157</v>
      </c>
    </row>
    <row r="6" spans="2:28" x14ac:dyDescent="0.3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</row>
    <row r="7" spans="2:28" ht="21" x14ac:dyDescent="0.4">
      <c r="B7" s="34" t="s">
        <v>3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2:28" x14ac:dyDescent="0.3">
      <c r="B8" s="36" t="s">
        <v>4</v>
      </c>
      <c r="C8" s="37">
        <v>-978</v>
      </c>
      <c r="D8" s="37">
        <v>-65341</v>
      </c>
      <c r="E8" s="37">
        <v>-153747.4</v>
      </c>
      <c r="F8" s="37">
        <v>-115242</v>
      </c>
      <c r="G8" s="37">
        <v>-34550.800000000003</v>
      </c>
      <c r="H8" s="37">
        <v>-14319.8</v>
      </c>
      <c r="I8" s="37">
        <v>-32088.799999999999</v>
      </c>
      <c r="J8" s="37">
        <v>-33866</v>
      </c>
      <c r="K8" s="37">
        <v>-33111</v>
      </c>
      <c r="L8" s="37">
        <v>-20318</v>
      </c>
      <c r="M8" s="37">
        <v>-205501.6</v>
      </c>
      <c r="N8" s="37">
        <v>-47535.4</v>
      </c>
      <c r="O8" s="37">
        <v>-756599.8</v>
      </c>
      <c r="P8" s="37">
        <f t="shared" ref="P8:AA8" si="0">SUM(P9:P13)</f>
        <v>-110000</v>
      </c>
      <c r="Q8" s="37">
        <f t="shared" si="0"/>
        <v>-29000</v>
      </c>
      <c r="R8" s="37">
        <f t="shared" si="0"/>
        <v>-13000</v>
      </c>
      <c r="S8" s="37">
        <f t="shared" si="0"/>
        <v>-27000</v>
      </c>
      <c r="T8" s="37">
        <f t="shared" si="0"/>
        <v>-29000</v>
      </c>
      <c r="U8" s="37">
        <f t="shared" si="0"/>
        <v>-32500</v>
      </c>
      <c r="V8" s="37">
        <f t="shared" si="0"/>
        <v>-19000</v>
      </c>
      <c r="W8" s="37">
        <f t="shared" si="0"/>
        <v>-186000</v>
      </c>
      <c r="X8" s="37">
        <f t="shared" si="0"/>
        <v>-29000</v>
      </c>
      <c r="Y8" s="37">
        <f t="shared" si="0"/>
        <v>-9000</v>
      </c>
      <c r="Z8" s="37">
        <f t="shared" si="0"/>
        <v>-57000</v>
      </c>
      <c r="AA8" s="37">
        <f t="shared" si="0"/>
        <v>-153505</v>
      </c>
      <c r="AB8" s="37">
        <f t="shared" ref="AB8:AB26" si="1">SUM(P8:AA8)</f>
        <v>-694005</v>
      </c>
    </row>
    <row r="9" spans="2:28" hidden="1" outlineLevel="1" x14ac:dyDescent="0.3">
      <c r="B9" s="38" t="s">
        <v>23</v>
      </c>
      <c r="C9" s="39">
        <v>0</v>
      </c>
      <c r="D9" s="39">
        <v>-9420</v>
      </c>
      <c r="E9" s="39">
        <v>0</v>
      </c>
      <c r="F9" s="39"/>
      <c r="G9" s="39"/>
      <c r="H9" s="39"/>
      <c r="I9" s="39"/>
      <c r="J9" s="39"/>
      <c r="K9" s="39">
        <v>-20550</v>
      </c>
      <c r="L9" s="39">
        <v>0</v>
      </c>
      <c r="M9" s="39"/>
      <c r="N9" s="39"/>
      <c r="O9" s="39">
        <v>-29970</v>
      </c>
      <c r="P9" s="39"/>
      <c r="Q9" s="39"/>
      <c r="R9" s="39"/>
      <c r="S9" s="39"/>
      <c r="T9" s="39"/>
      <c r="U9" s="39">
        <v>-20000</v>
      </c>
      <c r="V9" s="39"/>
      <c r="W9" s="39"/>
      <c r="X9" s="39"/>
      <c r="Y9" s="39">
        <v>-8000</v>
      </c>
      <c r="Z9" s="39"/>
      <c r="AA9" s="39"/>
      <c r="AB9" s="39">
        <f t="shared" si="1"/>
        <v>-28000</v>
      </c>
    </row>
    <row r="10" spans="2:28" hidden="1" outlineLevel="1" x14ac:dyDescent="0.3">
      <c r="B10" s="38" t="s">
        <v>24</v>
      </c>
      <c r="C10" s="39">
        <v>0</v>
      </c>
      <c r="D10" s="39">
        <v>-4643</v>
      </c>
      <c r="E10" s="39">
        <v>0</v>
      </c>
      <c r="F10" s="39"/>
      <c r="G10" s="39"/>
      <c r="H10" s="39">
        <v>-6621</v>
      </c>
      <c r="I10" s="39"/>
      <c r="J10" s="39">
        <v>-25</v>
      </c>
      <c r="K10" s="39">
        <v>-9570</v>
      </c>
      <c r="L10" s="39"/>
      <c r="M10" s="39">
        <v>-4055</v>
      </c>
      <c r="N10" s="39"/>
      <c r="O10" s="39">
        <v>-24914</v>
      </c>
      <c r="P10" s="39"/>
      <c r="Q10" s="39"/>
      <c r="R10" s="39">
        <v>-6000</v>
      </c>
      <c r="S10" s="39"/>
      <c r="T10" s="39"/>
      <c r="U10" s="39">
        <v>-9500</v>
      </c>
      <c r="V10" s="39"/>
      <c r="W10" s="39">
        <v>-4000</v>
      </c>
      <c r="X10" s="39"/>
      <c r="Y10" s="39"/>
      <c r="Z10" s="39">
        <v>-5000</v>
      </c>
      <c r="AA10" s="39"/>
      <c r="AB10" s="39">
        <f t="shared" si="1"/>
        <v>-24500</v>
      </c>
    </row>
    <row r="11" spans="2:28" hidden="1" outlineLevel="1" x14ac:dyDescent="0.3">
      <c r="B11" s="38" t="s">
        <v>25</v>
      </c>
      <c r="C11" s="39">
        <v>0</v>
      </c>
      <c r="D11" s="39">
        <v>0</v>
      </c>
      <c r="E11" s="39">
        <v>-45729</v>
      </c>
      <c r="F11" s="39">
        <v>0</v>
      </c>
      <c r="G11" s="39"/>
      <c r="H11" s="39"/>
      <c r="I11" s="39"/>
      <c r="J11" s="39"/>
      <c r="K11" s="39"/>
      <c r="L11" s="39"/>
      <c r="M11" s="39"/>
      <c r="N11" s="39"/>
      <c r="O11" s="39">
        <v>-45729</v>
      </c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>
        <v>-44505</v>
      </c>
      <c r="AB11" s="39">
        <f t="shared" si="1"/>
        <v>-44505</v>
      </c>
    </row>
    <row r="12" spans="2:28" hidden="1" outlineLevel="1" x14ac:dyDescent="0.3">
      <c r="B12" s="38" t="s">
        <v>173</v>
      </c>
      <c r="C12" s="39">
        <v>-978</v>
      </c>
      <c r="D12" s="39">
        <v>-33528</v>
      </c>
      <c r="E12" s="39">
        <v>-108018.4</v>
      </c>
      <c r="F12" s="39">
        <v>-85792</v>
      </c>
      <c r="G12" s="39">
        <v>-14300.8</v>
      </c>
      <c r="H12" s="39">
        <v>-7698.8</v>
      </c>
      <c r="I12" s="39">
        <v>-5738.8</v>
      </c>
      <c r="J12" s="39">
        <v>-17641</v>
      </c>
      <c r="K12" s="39">
        <v>-2991</v>
      </c>
      <c r="L12" s="39">
        <v>-19318</v>
      </c>
      <c r="M12" s="39">
        <v>-161786.6</v>
      </c>
      <c r="N12" s="39">
        <v>-13985.4</v>
      </c>
      <c r="O12" s="39">
        <v>-471776.79999999993</v>
      </c>
      <c r="P12" s="39">
        <v>-85000</v>
      </c>
      <c r="Q12" s="39">
        <v>-14000</v>
      </c>
      <c r="R12" s="39">
        <v>-7000</v>
      </c>
      <c r="S12" s="39">
        <v>-6000</v>
      </c>
      <c r="T12" s="39">
        <v>-18000</v>
      </c>
      <c r="U12" s="39">
        <v>-3000</v>
      </c>
      <c r="V12" s="39">
        <v>-19000</v>
      </c>
      <c r="W12" s="39">
        <v>-162000</v>
      </c>
      <c r="X12" s="39">
        <v>-14000</v>
      </c>
      <c r="Y12" s="39">
        <v>-1000</v>
      </c>
      <c r="Z12" s="39">
        <v>-34000</v>
      </c>
      <c r="AA12" s="39">
        <v>-109000</v>
      </c>
      <c r="AB12" s="39">
        <f t="shared" si="1"/>
        <v>-472000</v>
      </c>
    </row>
    <row r="13" spans="2:28" hidden="1" outlineLevel="1" x14ac:dyDescent="0.3">
      <c r="B13" s="38" t="s">
        <v>174</v>
      </c>
      <c r="C13" s="39">
        <v>0</v>
      </c>
      <c r="D13" s="39">
        <v>-17750</v>
      </c>
      <c r="E13" s="39">
        <v>0</v>
      </c>
      <c r="F13" s="39">
        <v>-29450</v>
      </c>
      <c r="G13" s="39">
        <v>-20250</v>
      </c>
      <c r="H13" s="39"/>
      <c r="I13" s="39">
        <v>-26350</v>
      </c>
      <c r="J13" s="39">
        <v>-16200</v>
      </c>
      <c r="K13" s="39"/>
      <c r="L13" s="39">
        <v>-1000</v>
      </c>
      <c r="M13" s="39">
        <v>-39660</v>
      </c>
      <c r="N13" s="39">
        <v>-33550</v>
      </c>
      <c r="O13" s="39">
        <v>-184210</v>
      </c>
      <c r="P13" s="39">
        <v>-25000</v>
      </c>
      <c r="Q13" s="39">
        <v>-15000</v>
      </c>
      <c r="R13" s="39"/>
      <c r="S13" s="39">
        <v>-21000</v>
      </c>
      <c r="T13" s="39">
        <v>-11000</v>
      </c>
      <c r="U13" s="39"/>
      <c r="V13" s="39"/>
      <c r="W13" s="39">
        <v>-20000</v>
      </c>
      <c r="X13" s="39">
        <v>-15000</v>
      </c>
      <c r="Y13" s="39"/>
      <c r="Z13" s="39">
        <v>-18000</v>
      </c>
      <c r="AA13" s="39"/>
      <c r="AB13" s="39">
        <f t="shared" si="1"/>
        <v>-125000</v>
      </c>
    </row>
    <row r="14" spans="2:28" collapsed="1" x14ac:dyDescent="0.3">
      <c r="B14" s="36" t="s">
        <v>5</v>
      </c>
      <c r="C14" s="37">
        <v>-12000</v>
      </c>
      <c r="D14" s="37">
        <v>-112307</v>
      </c>
      <c r="E14" s="37">
        <v>-17429</v>
      </c>
      <c r="F14" s="37">
        <v>0</v>
      </c>
      <c r="G14" s="37">
        <v>0</v>
      </c>
      <c r="H14" s="37">
        <v>0</v>
      </c>
      <c r="I14" s="37">
        <v>0</v>
      </c>
      <c r="J14" s="37">
        <v>-15000</v>
      </c>
      <c r="K14" s="37">
        <v>-5000</v>
      </c>
      <c r="L14" s="37">
        <v>-15000</v>
      </c>
      <c r="M14" s="37">
        <v>0</v>
      </c>
      <c r="N14" s="37">
        <v>0</v>
      </c>
      <c r="O14" s="37">
        <v>-176736</v>
      </c>
      <c r="P14" s="37">
        <f t="shared" ref="P14:AA14" si="2">SUM(P15:P19)</f>
        <v>0</v>
      </c>
      <c r="Q14" s="37">
        <f t="shared" si="2"/>
        <v>0</v>
      </c>
      <c r="R14" s="37">
        <f t="shared" si="2"/>
        <v>0</v>
      </c>
      <c r="S14" s="37">
        <f t="shared" si="2"/>
        <v>0</v>
      </c>
      <c r="T14" s="37">
        <f t="shared" si="2"/>
        <v>-15000</v>
      </c>
      <c r="U14" s="37">
        <f t="shared" si="2"/>
        <v>-5000</v>
      </c>
      <c r="V14" s="37">
        <f t="shared" si="2"/>
        <v>-15000</v>
      </c>
      <c r="W14" s="37">
        <f t="shared" si="2"/>
        <v>0</v>
      </c>
      <c r="X14" s="37">
        <f t="shared" si="2"/>
        <v>0</v>
      </c>
      <c r="Y14" s="37">
        <f t="shared" si="2"/>
        <v>-123261</v>
      </c>
      <c r="Z14" s="37">
        <f t="shared" si="2"/>
        <v>0</v>
      </c>
      <c r="AA14" s="37">
        <f t="shared" si="2"/>
        <v>-17000</v>
      </c>
      <c r="AB14" s="37">
        <f t="shared" si="1"/>
        <v>-175261</v>
      </c>
    </row>
    <row r="15" spans="2:28" outlineLevel="1" x14ac:dyDescent="0.3">
      <c r="B15" s="38" t="s">
        <v>30</v>
      </c>
      <c r="C15" s="39">
        <v>0</v>
      </c>
      <c r="D15" s="39">
        <v>0</v>
      </c>
      <c r="E15" s="39">
        <v>-5429</v>
      </c>
      <c r="F15" s="39"/>
      <c r="G15" s="39"/>
      <c r="H15" s="39"/>
      <c r="I15" s="39"/>
      <c r="J15" s="39"/>
      <c r="K15" s="39"/>
      <c r="L15" s="39"/>
      <c r="M15" s="39"/>
      <c r="N15" s="39"/>
      <c r="O15" s="39">
        <v>-5429</v>
      </c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>
        <v>-5000</v>
      </c>
      <c r="AB15" s="39">
        <f t="shared" si="1"/>
        <v>-5000</v>
      </c>
    </row>
    <row r="16" spans="2:28" outlineLevel="1" x14ac:dyDescent="0.3">
      <c r="B16" s="38" t="s">
        <v>175</v>
      </c>
      <c r="C16" s="39">
        <v>0</v>
      </c>
      <c r="D16" s="39">
        <v>0</v>
      </c>
      <c r="E16" s="39">
        <v>0</v>
      </c>
      <c r="F16" s="39"/>
      <c r="G16" s="39"/>
      <c r="H16" s="39"/>
      <c r="I16" s="39"/>
      <c r="J16" s="39"/>
      <c r="K16" s="39"/>
      <c r="L16" s="39">
        <v>-15000</v>
      </c>
      <c r="M16" s="39"/>
      <c r="N16" s="39"/>
      <c r="O16" s="39">
        <v>-15000</v>
      </c>
      <c r="P16" s="39"/>
      <c r="Q16" s="39"/>
      <c r="R16" s="39"/>
      <c r="S16" s="39"/>
      <c r="T16" s="39"/>
      <c r="U16" s="39"/>
      <c r="V16" s="39">
        <v>-15000</v>
      </c>
      <c r="W16" s="39"/>
      <c r="X16" s="39"/>
      <c r="Y16" s="39"/>
      <c r="Z16" s="39"/>
      <c r="AA16" s="39"/>
      <c r="AB16" s="39">
        <f t="shared" si="1"/>
        <v>-15000</v>
      </c>
    </row>
    <row r="17" spans="2:28" outlineLevel="1" x14ac:dyDescent="0.3">
      <c r="B17" s="38" t="s">
        <v>32</v>
      </c>
      <c r="C17" s="39">
        <v>0</v>
      </c>
      <c r="D17" s="39">
        <v>-112307</v>
      </c>
      <c r="E17" s="39">
        <v>0</v>
      </c>
      <c r="F17" s="39"/>
      <c r="G17" s="39"/>
      <c r="H17" s="39"/>
      <c r="I17" s="39"/>
      <c r="J17" s="39"/>
      <c r="K17" s="39"/>
      <c r="L17" s="39"/>
      <c r="M17" s="39"/>
      <c r="N17" s="39"/>
      <c r="O17" s="39">
        <v>-112307</v>
      </c>
      <c r="P17" s="39"/>
      <c r="Q17" s="39"/>
      <c r="R17" s="39"/>
      <c r="S17" s="39"/>
      <c r="T17" s="39"/>
      <c r="U17" s="39"/>
      <c r="V17" s="39"/>
      <c r="W17" s="39"/>
      <c r="X17" s="39"/>
      <c r="Y17" s="39">
        <v>-111261</v>
      </c>
      <c r="Z17" s="39"/>
      <c r="AA17" s="39"/>
      <c r="AB17" s="39">
        <f t="shared" si="1"/>
        <v>-111261</v>
      </c>
    </row>
    <row r="18" spans="2:28" outlineLevel="1" x14ac:dyDescent="0.3">
      <c r="B18" s="38" t="s">
        <v>176</v>
      </c>
      <c r="C18" s="39">
        <v>0</v>
      </c>
      <c r="D18" s="39">
        <v>0</v>
      </c>
      <c r="E18" s="39">
        <v>0</v>
      </c>
      <c r="F18" s="39"/>
      <c r="G18" s="39"/>
      <c r="H18" s="39"/>
      <c r="I18" s="39"/>
      <c r="J18" s="39"/>
      <c r="K18" s="39"/>
      <c r="L18" s="39"/>
      <c r="M18" s="39"/>
      <c r="N18" s="39"/>
      <c r="O18" s="39">
        <v>0</v>
      </c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>
        <f t="shared" si="1"/>
        <v>0</v>
      </c>
    </row>
    <row r="19" spans="2:28" outlineLevel="1" x14ac:dyDescent="0.3">
      <c r="B19" s="38" t="s">
        <v>177</v>
      </c>
      <c r="C19" s="39">
        <v>-12000</v>
      </c>
      <c r="D19" s="39">
        <v>0</v>
      </c>
      <c r="E19" s="39">
        <v>-12000</v>
      </c>
      <c r="F19" s="39"/>
      <c r="G19" s="39"/>
      <c r="H19" s="39"/>
      <c r="I19" s="39"/>
      <c r="J19" s="39">
        <v>-15000</v>
      </c>
      <c r="K19" s="39">
        <v>-5000</v>
      </c>
      <c r="L19" s="39"/>
      <c r="M19" s="39"/>
      <c r="N19" s="39"/>
      <c r="O19" s="39">
        <v>-44000</v>
      </c>
      <c r="P19" s="39"/>
      <c r="Q19" s="39"/>
      <c r="R19" s="39"/>
      <c r="S19" s="39"/>
      <c r="T19" s="39">
        <v>-15000</v>
      </c>
      <c r="U19" s="39">
        <v>-5000</v>
      </c>
      <c r="V19" s="39"/>
      <c r="W19" s="39"/>
      <c r="X19" s="39"/>
      <c r="Y19" s="39">
        <v>-12000</v>
      </c>
      <c r="Z19" s="39"/>
      <c r="AA19" s="39">
        <v>-12000</v>
      </c>
      <c r="AB19" s="39">
        <f t="shared" si="1"/>
        <v>-44000</v>
      </c>
    </row>
    <row r="20" spans="2:28" x14ac:dyDescent="0.3">
      <c r="B20" s="36" t="s">
        <v>6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f t="shared" ref="P20:AA20" si="3">P21</f>
        <v>0</v>
      </c>
      <c r="Q20" s="37">
        <f t="shared" si="3"/>
        <v>0</v>
      </c>
      <c r="R20" s="37">
        <f t="shared" si="3"/>
        <v>0</v>
      </c>
      <c r="S20" s="37">
        <f t="shared" si="3"/>
        <v>0</v>
      </c>
      <c r="T20" s="37">
        <f t="shared" si="3"/>
        <v>0</v>
      </c>
      <c r="U20" s="37">
        <f t="shared" si="3"/>
        <v>0</v>
      </c>
      <c r="V20" s="37">
        <f t="shared" si="3"/>
        <v>0</v>
      </c>
      <c r="W20" s="37">
        <f t="shared" si="3"/>
        <v>0</v>
      </c>
      <c r="X20" s="37">
        <f t="shared" si="3"/>
        <v>0</v>
      </c>
      <c r="Y20" s="37">
        <f t="shared" si="3"/>
        <v>0</v>
      </c>
      <c r="Z20" s="37">
        <f t="shared" si="3"/>
        <v>0</v>
      </c>
      <c r="AA20" s="37">
        <f t="shared" si="3"/>
        <v>0</v>
      </c>
      <c r="AB20" s="37">
        <f t="shared" si="1"/>
        <v>0</v>
      </c>
    </row>
    <row r="21" spans="2:28" ht="15.75" hidden="1" customHeight="1" outlineLevel="1" x14ac:dyDescent="0.3">
      <c r="B21" s="38" t="s">
        <v>40</v>
      </c>
      <c r="C21" s="39">
        <v>0</v>
      </c>
      <c r="D21" s="39">
        <v>0</v>
      </c>
      <c r="E21" s="39">
        <v>0</v>
      </c>
      <c r="F21" s="39"/>
      <c r="G21" s="39"/>
      <c r="H21" s="39"/>
      <c r="I21" s="39"/>
      <c r="J21" s="39"/>
      <c r="K21" s="39"/>
      <c r="L21" s="39"/>
      <c r="M21" s="39"/>
      <c r="N21" s="39"/>
      <c r="O21" s="39">
        <v>0</v>
      </c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>
        <f t="shared" si="1"/>
        <v>0</v>
      </c>
    </row>
    <row r="22" spans="2:28" ht="15.75" customHeight="1" collapsed="1" x14ac:dyDescent="0.3">
      <c r="B22" s="36" t="s">
        <v>7</v>
      </c>
      <c r="C22" s="37">
        <v>0</v>
      </c>
      <c r="D22" s="37">
        <v>-123081</v>
      </c>
      <c r="E22" s="37">
        <v>-1500</v>
      </c>
      <c r="F22" s="37">
        <v>0</v>
      </c>
      <c r="G22" s="37">
        <v>0</v>
      </c>
      <c r="H22" s="37">
        <v>-200</v>
      </c>
      <c r="I22" s="37">
        <v>-196.5</v>
      </c>
      <c r="J22" s="37">
        <v>0</v>
      </c>
      <c r="K22" s="37">
        <v>-25600</v>
      </c>
      <c r="L22" s="37">
        <v>0</v>
      </c>
      <c r="M22" s="37">
        <v>0</v>
      </c>
      <c r="N22" s="37">
        <v>-60000</v>
      </c>
      <c r="O22" s="37">
        <v>-210577.5</v>
      </c>
      <c r="P22" s="37">
        <f t="shared" ref="P22:AA22" si="4">SUM(P23:P25)</f>
        <v>0</v>
      </c>
      <c r="Q22" s="37">
        <f t="shared" si="4"/>
        <v>0</v>
      </c>
      <c r="R22" s="37">
        <f t="shared" si="4"/>
        <v>0</v>
      </c>
      <c r="S22" s="37">
        <f t="shared" si="4"/>
        <v>0</v>
      </c>
      <c r="T22" s="37">
        <f t="shared" si="4"/>
        <v>0</v>
      </c>
      <c r="U22" s="37">
        <f t="shared" si="4"/>
        <v>-26000</v>
      </c>
      <c r="V22" s="37">
        <f t="shared" si="4"/>
        <v>0</v>
      </c>
      <c r="W22" s="37">
        <f t="shared" si="4"/>
        <v>0</v>
      </c>
      <c r="X22" s="37">
        <f t="shared" si="4"/>
        <v>-60000</v>
      </c>
      <c r="Y22" s="37">
        <f t="shared" si="4"/>
        <v>0</v>
      </c>
      <c r="Z22" s="37">
        <f t="shared" si="4"/>
        <v>0</v>
      </c>
      <c r="AA22" s="37">
        <f t="shared" si="4"/>
        <v>0</v>
      </c>
      <c r="AB22" s="37">
        <f t="shared" si="1"/>
        <v>-86000</v>
      </c>
    </row>
    <row r="23" spans="2:28" ht="15.75" customHeight="1" outlineLevel="1" x14ac:dyDescent="0.3">
      <c r="B23" s="38" t="s">
        <v>161</v>
      </c>
      <c r="C23" s="39">
        <v>0</v>
      </c>
      <c r="D23" s="39">
        <v>0</v>
      </c>
      <c r="E23" s="39">
        <v>0</v>
      </c>
      <c r="F23" s="39"/>
      <c r="G23" s="39"/>
      <c r="H23" s="39"/>
      <c r="I23" s="39"/>
      <c r="J23" s="39"/>
      <c r="K23" s="39">
        <v>-25000</v>
      </c>
      <c r="L23" s="39"/>
      <c r="M23" s="39"/>
      <c r="N23" s="39"/>
      <c r="O23" s="39">
        <v>-25000</v>
      </c>
      <c r="P23" s="39"/>
      <c r="Q23" s="39"/>
      <c r="R23" s="39"/>
      <c r="S23" s="39"/>
      <c r="T23" s="39"/>
      <c r="U23" s="39">
        <v>-25000</v>
      </c>
      <c r="V23" s="39"/>
      <c r="W23" s="39"/>
      <c r="X23" s="39"/>
      <c r="Y23" s="39"/>
      <c r="Z23" s="39"/>
      <c r="AA23" s="39"/>
      <c r="AB23" s="39">
        <f t="shared" si="1"/>
        <v>-25000</v>
      </c>
    </row>
    <row r="24" spans="2:28" ht="15.75" customHeight="1" outlineLevel="1" x14ac:dyDescent="0.3">
      <c r="B24" s="38" t="s">
        <v>162</v>
      </c>
      <c r="C24" s="39">
        <v>0</v>
      </c>
      <c r="D24" s="39">
        <v>0</v>
      </c>
      <c r="E24" s="39">
        <v>0</v>
      </c>
      <c r="F24" s="39"/>
      <c r="G24" s="39"/>
      <c r="H24" s="39"/>
      <c r="I24" s="39">
        <v>-196.5</v>
      </c>
      <c r="J24" s="39"/>
      <c r="K24" s="39"/>
      <c r="L24" s="39"/>
      <c r="M24" s="39"/>
      <c r="N24" s="39"/>
      <c r="O24" s="39">
        <v>-196.5</v>
      </c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>
        <f t="shared" si="1"/>
        <v>0</v>
      </c>
    </row>
    <row r="25" spans="2:28" ht="15.75" customHeight="1" outlineLevel="1" x14ac:dyDescent="0.3">
      <c r="B25" s="38" t="s">
        <v>42</v>
      </c>
      <c r="C25" s="39">
        <v>0</v>
      </c>
      <c r="D25" s="39">
        <v>-123081</v>
      </c>
      <c r="E25" s="39">
        <v>-1500</v>
      </c>
      <c r="F25" s="39"/>
      <c r="G25" s="39"/>
      <c r="H25" s="39">
        <v>-200</v>
      </c>
      <c r="I25" s="39"/>
      <c r="J25" s="39"/>
      <c r="K25" s="39">
        <v>-600</v>
      </c>
      <c r="L25" s="39"/>
      <c r="M25" s="39"/>
      <c r="N25" s="39">
        <v>-60000</v>
      </c>
      <c r="O25" s="39">
        <v>-185381</v>
      </c>
      <c r="P25" s="39"/>
      <c r="Q25" s="39"/>
      <c r="R25" s="39"/>
      <c r="S25" s="39"/>
      <c r="T25" s="39"/>
      <c r="U25" s="39">
        <v>-1000</v>
      </c>
      <c r="V25" s="39"/>
      <c r="W25" s="39"/>
      <c r="X25" s="39">
        <v>-60000</v>
      </c>
      <c r="Y25" s="39"/>
      <c r="Z25" s="39"/>
      <c r="AA25" s="39"/>
      <c r="AB25" s="39">
        <f t="shared" si="1"/>
        <v>-61000</v>
      </c>
    </row>
    <row r="26" spans="2:28" ht="15.75" customHeight="1" x14ac:dyDescent="0.3">
      <c r="B26" s="40" t="s">
        <v>8</v>
      </c>
      <c r="C26" s="41">
        <v>-12978</v>
      </c>
      <c r="D26" s="41">
        <v>-300729</v>
      </c>
      <c r="E26" s="41">
        <v>-172676.4</v>
      </c>
      <c r="F26" s="41">
        <v>-115242</v>
      </c>
      <c r="G26" s="41">
        <v>-34550.800000000003</v>
      </c>
      <c r="H26" s="41">
        <v>-14519.8</v>
      </c>
      <c r="I26" s="41">
        <v>-32285.3</v>
      </c>
      <c r="J26" s="41">
        <v>-48866</v>
      </c>
      <c r="K26" s="41">
        <v>-63711</v>
      </c>
      <c r="L26" s="41">
        <v>-35318</v>
      </c>
      <c r="M26" s="41">
        <v>-205501.6</v>
      </c>
      <c r="N26" s="41">
        <v>-107535.4</v>
      </c>
      <c r="O26" s="41">
        <v>-1143913.3</v>
      </c>
      <c r="P26" s="41">
        <f t="shared" ref="P26:AA26" si="5">P8+P14+P20+P22</f>
        <v>-110000</v>
      </c>
      <c r="Q26" s="41">
        <f t="shared" si="5"/>
        <v>-29000</v>
      </c>
      <c r="R26" s="41">
        <f t="shared" si="5"/>
        <v>-13000</v>
      </c>
      <c r="S26" s="41">
        <f t="shared" si="5"/>
        <v>-27000</v>
      </c>
      <c r="T26" s="41">
        <f t="shared" si="5"/>
        <v>-44000</v>
      </c>
      <c r="U26" s="41">
        <f t="shared" si="5"/>
        <v>-63500</v>
      </c>
      <c r="V26" s="41">
        <f t="shared" si="5"/>
        <v>-34000</v>
      </c>
      <c r="W26" s="41">
        <f t="shared" si="5"/>
        <v>-186000</v>
      </c>
      <c r="X26" s="41">
        <f t="shared" si="5"/>
        <v>-89000</v>
      </c>
      <c r="Y26" s="41">
        <f t="shared" si="5"/>
        <v>-132261</v>
      </c>
      <c r="Z26" s="41">
        <f t="shared" si="5"/>
        <v>-57000</v>
      </c>
      <c r="AA26" s="41">
        <f t="shared" si="5"/>
        <v>-170505</v>
      </c>
      <c r="AB26" s="41">
        <f t="shared" si="1"/>
        <v>-955266</v>
      </c>
    </row>
    <row r="27" spans="2:28" ht="15.75" customHeight="1" x14ac:dyDescent="0.3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</row>
    <row r="28" spans="2:28" ht="15.75" customHeight="1" x14ac:dyDescent="0.3"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</row>
    <row r="29" spans="2:28" ht="15.75" customHeight="1" x14ac:dyDescent="0.4">
      <c r="B29" s="34" t="s">
        <v>9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>
        <v>0</v>
      </c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>
        <f t="shared" ref="AB29:AB75" si="6">SUM(P29:AA29)</f>
        <v>0</v>
      </c>
    </row>
    <row r="30" spans="2:28" ht="15.75" customHeight="1" x14ac:dyDescent="0.3">
      <c r="B30" s="36" t="s">
        <v>10</v>
      </c>
      <c r="C30" s="37">
        <v>13395</v>
      </c>
      <c r="D30" s="37">
        <v>21983.75</v>
      </c>
      <c r="E30" s="37">
        <v>10735.4</v>
      </c>
      <c r="F30" s="37">
        <v>0</v>
      </c>
      <c r="G30" s="37">
        <v>0</v>
      </c>
      <c r="H30" s="37">
        <v>2828.21</v>
      </c>
      <c r="I30" s="37">
        <v>24019.75</v>
      </c>
      <c r="J30" s="37">
        <v>53026.65</v>
      </c>
      <c r="K30" s="37">
        <v>39549</v>
      </c>
      <c r="L30" s="37">
        <v>0</v>
      </c>
      <c r="M30" s="37">
        <v>0</v>
      </c>
      <c r="N30" s="37">
        <v>7639.5</v>
      </c>
      <c r="O30" s="37">
        <v>173177.26</v>
      </c>
      <c r="P30" s="37">
        <f t="shared" ref="P30:AA30" si="7">SUM(P31:P38)</f>
        <v>20000</v>
      </c>
      <c r="Q30" s="37">
        <f t="shared" si="7"/>
        <v>20000</v>
      </c>
      <c r="R30" s="37">
        <f t="shared" si="7"/>
        <v>23000</v>
      </c>
      <c r="S30" s="37">
        <f t="shared" si="7"/>
        <v>45000</v>
      </c>
      <c r="T30" s="37">
        <f t="shared" si="7"/>
        <v>38000</v>
      </c>
      <c r="U30" s="37">
        <f t="shared" si="7"/>
        <v>45000</v>
      </c>
      <c r="V30" s="37">
        <f t="shared" si="7"/>
        <v>0</v>
      </c>
      <c r="W30" s="37">
        <f t="shared" si="7"/>
        <v>0</v>
      </c>
      <c r="X30" s="37">
        <f t="shared" si="7"/>
        <v>14000</v>
      </c>
      <c r="Y30" s="37">
        <f t="shared" si="7"/>
        <v>13000</v>
      </c>
      <c r="Z30" s="37">
        <f t="shared" si="7"/>
        <v>23000</v>
      </c>
      <c r="AA30" s="37">
        <f t="shared" si="7"/>
        <v>11000</v>
      </c>
      <c r="AB30" s="37">
        <f t="shared" si="6"/>
        <v>252000</v>
      </c>
    </row>
    <row r="31" spans="2:28" ht="15.75" hidden="1" customHeight="1" outlineLevel="1" x14ac:dyDescent="0.3">
      <c r="B31" s="38" t="s">
        <v>51</v>
      </c>
      <c r="C31" s="39">
        <v>0</v>
      </c>
      <c r="D31" s="39">
        <v>0</v>
      </c>
      <c r="E31" s="39">
        <v>4783.3999999999996</v>
      </c>
      <c r="F31" s="39">
        <v>0</v>
      </c>
      <c r="G31" s="39"/>
      <c r="H31" s="39"/>
      <c r="I31" s="39"/>
      <c r="J31" s="39"/>
      <c r="K31" s="39"/>
      <c r="L31" s="39"/>
      <c r="M31" s="39"/>
      <c r="N31" s="39"/>
      <c r="O31" s="39">
        <v>4783.3999999999996</v>
      </c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>
        <v>5000</v>
      </c>
      <c r="AB31" s="39">
        <f t="shared" si="6"/>
        <v>5000</v>
      </c>
    </row>
    <row r="32" spans="2:28" ht="15.75" hidden="1" customHeight="1" outlineLevel="1" x14ac:dyDescent="0.3">
      <c r="B32" s="38" t="s">
        <v>52</v>
      </c>
      <c r="C32" s="39">
        <v>0</v>
      </c>
      <c r="D32" s="39">
        <v>0</v>
      </c>
      <c r="E32" s="39">
        <v>0</v>
      </c>
      <c r="F32" s="39"/>
      <c r="G32" s="39"/>
      <c r="H32" s="39"/>
      <c r="I32" s="39"/>
      <c r="J32" s="39"/>
      <c r="K32" s="39">
        <v>2500</v>
      </c>
      <c r="L32" s="39"/>
      <c r="M32" s="39"/>
      <c r="N32" s="39">
        <v>10945.5</v>
      </c>
      <c r="O32" s="39">
        <v>13445.5</v>
      </c>
      <c r="P32" s="39">
        <v>10000</v>
      </c>
      <c r="Q32" s="39">
        <v>10000</v>
      </c>
      <c r="R32" s="39">
        <v>10000</v>
      </c>
      <c r="S32" s="39">
        <v>10000</v>
      </c>
      <c r="T32" s="39"/>
      <c r="U32" s="39">
        <v>3000</v>
      </c>
      <c r="V32" s="39"/>
      <c r="W32" s="39"/>
      <c r="X32" s="39">
        <v>10000</v>
      </c>
      <c r="Y32" s="39"/>
      <c r="Z32" s="39"/>
      <c r="AA32" s="39"/>
      <c r="AB32" s="39">
        <f t="shared" si="6"/>
        <v>53000</v>
      </c>
    </row>
    <row r="33" spans="2:28" ht="15.75" hidden="1" customHeight="1" outlineLevel="1" x14ac:dyDescent="0.3">
      <c r="B33" s="38" t="s">
        <v>54</v>
      </c>
      <c r="C33" s="39">
        <v>10395</v>
      </c>
      <c r="D33" s="39">
        <v>18983.75</v>
      </c>
      <c r="E33" s="39">
        <v>4202</v>
      </c>
      <c r="F33" s="39"/>
      <c r="G33" s="39"/>
      <c r="H33" s="39">
        <v>2828.21</v>
      </c>
      <c r="I33" s="39">
        <v>24019.75</v>
      </c>
      <c r="J33" s="39">
        <v>25968.65</v>
      </c>
      <c r="K33" s="39">
        <v>1608</v>
      </c>
      <c r="L33" s="39"/>
      <c r="M33" s="39"/>
      <c r="N33" s="39">
        <v>-3306</v>
      </c>
      <c r="O33" s="39">
        <v>84699.36</v>
      </c>
      <c r="P33" s="39"/>
      <c r="Q33" s="39"/>
      <c r="R33" s="39">
        <v>3000</v>
      </c>
      <c r="S33" s="39">
        <v>25000</v>
      </c>
      <c r="T33" s="39">
        <v>25000</v>
      </c>
      <c r="U33" s="39">
        <v>2000</v>
      </c>
      <c r="V33" s="39"/>
      <c r="W33" s="39"/>
      <c r="X33" s="39">
        <v>4000</v>
      </c>
      <c r="Y33" s="39">
        <v>10000</v>
      </c>
      <c r="Z33" s="39">
        <v>20000</v>
      </c>
      <c r="AA33" s="39">
        <v>4000</v>
      </c>
      <c r="AB33" s="39">
        <f t="shared" si="6"/>
        <v>93000</v>
      </c>
    </row>
    <row r="34" spans="2:28" ht="15.75" hidden="1" customHeight="1" outlineLevel="1" x14ac:dyDescent="0.3">
      <c r="B34" s="38" t="s">
        <v>178</v>
      </c>
      <c r="C34" s="39">
        <v>0</v>
      </c>
      <c r="D34" s="39">
        <v>0</v>
      </c>
      <c r="E34" s="39">
        <v>0</v>
      </c>
      <c r="F34" s="39"/>
      <c r="G34" s="39"/>
      <c r="H34" s="39"/>
      <c r="I34" s="39"/>
      <c r="J34" s="39"/>
      <c r="K34" s="39"/>
      <c r="L34" s="39"/>
      <c r="M34" s="39"/>
      <c r="N34" s="39"/>
      <c r="O34" s="39">
        <v>0</v>
      </c>
      <c r="P34" s="39">
        <v>10000</v>
      </c>
      <c r="Q34" s="39">
        <v>10000</v>
      </c>
      <c r="R34" s="39">
        <v>10000</v>
      </c>
      <c r="S34" s="39">
        <v>10000</v>
      </c>
      <c r="T34" s="39">
        <v>10000</v>
      </c>
      <c r="U34" s="39"/>
      <c r="V34" s="39"/>
      <c r="W34" s="39"/>
      <c r="X34" s="39"/>
      <c r="Y34" s="39"/>
      <c r="Z34" s="39"/>
      <c r="AA34" s="39"/>
      <c r="AB34" s="39">
        <f t="shared" si="6"/>
        <v>50000</v>
      </c>
    </row>
    <row r="35" spans="2:28" ht="15.75" hidden="1" customHeight="1" outlineLevel="1" x14ac:dyDescent="0.3">
      <c r="B35" s="38" t="s">
        <v>163</v>
      </c>
      <c r="C35" s="39">
        <v>0</v>
      </c>
      <c r="D35" s="39">
        <v>0</v>
      </c>
      <c r="E35" s="39">
        <v>750</v>
      </c>
      <c r="F35" s="39"/>
      <c r="G35" s="39"/>
      <c r="H35" s="39"/>
      <c r="I35" s="39"/>
      <c r="J35" s="39"/>
      <c r="K35" s="39">
        <v>4080</v>
      </c>
      <c r="L35" s="39"/>
      <c r="M35" s="39"/>
      <c r="N35" s="39"/>
      <c r="O35" s="39">
        <v>4830</v>
      </c>
      <c r="P35" s="39"/>
      <c r="Q35" s="39"/>
      <c r="R35" s="39"/>
      <c r="S35" s="39"/>
      <c r="T35" s="39"/>
      <c r="U35" s="39">
        <v>4000</v>
      </c>
      <c r="V35" s="39"/>
      <c r="W35" s="39"/>
      <c r="X35" s="39"/>
      <c r="Y35" s="39"/>
      <c r="Z35" s="39"/>
      <c r="AA35" s="39">
        <v>1000</v>
      </c>
      <c r="AB35" s="39">
        <f t="shared" si="6"/>
        <v>5000</v>
      </c>
    </row>
    <row r="36" spans="2:28" ht="15.75" hidden="1" customHeight="1" outlineLevel="1" x14ac:dyDescent="0.3">
      <c r="B36" s="38" t="s">
        <v>164</v>
      </c>
      <c r="C36" s="39">
        <v>3000</v>
      </c>
      <c r="D36" s="39">
        <v>3000</v>
      </c>
      <c r="E36" s="39">
        <v>1000</v>
      </c>
      <c r="F36" s="39"/>
      <c r="G36" s="39"/>
      <c r="H36" s="39"/>
      <c r="I36" s="39"/>
      <c r="J36" s="39"/>
      <c r="K36" s="39">
        <v>1000</v>
      </c>
      <c r="L36" s="39"/>
      <c r="M36" s="39"/>
      <c r="N36" s="39"/>
      <c r="O36" s="39">
        <v>8000</v>
      </c>
      <c r="P36" s="39"/>
      <c r="Q36" s="39"/>
      <c r="R36" s="39"/>
      <c r="S36" s="39"/>
      <c r="T36" s="39"/>
      <c r="U36" s="39">
        <v>1000</v>
      </c>
      <c r="V36" s="39"/>
      <c r="W36" s="39"/>
      <c r="X36" s="39"/>
      <c r="Y36" s="39">
        <v>3000</v>
      </c>
      <c r="Z36" s="39">
        <v>3000</v>
      </c>
      <c r="AA36" s="39">
        <v>1000</v>
      </c>
      <c r="AB36" s="39">
        <f t="shared" si="6"/>
        <v>8000</v>
      </c>
    </row>
    <row r="37" spans="2:28" ht="15.75" hidden="1" customHeight="1" outlineLevel="1" x14ac:dyDescent="0.3">
      <c r="B37" s="38" t="s">
        <v>55</v>
      </c>
      <c r="C37" s="39">
        <v>0</v>
      </c>
      <c r="D37" s="39">
        <v>0</v>
      </c>
      <c r="E37" s="39">
        <v>0</v>
      </c>
      <c r="F37" s="39"/>
      <c r="G37" s="39"/>
      <c r="H37" s="39"/>
      <c r="I37" s="39"/>
      <c r="J37" s="39"/>
      <c r="K37" s="39"/>
      <c r="L37" s="39"/>
      <c r="M37" s="39"/>
      <c r="N37" s="39"/>
      <c r="O37" s="39">
        <v>0</v>
      </c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>
        <f t="shared" si="6"/>
        <v>0</v>
      </c>
    </row>
    <row r="38" spans="2:28" ht="15.75" hidden="1" customHeight="1" outlineLevel="1" x14ac:dyDescent="0.3">
      <c r="B38" s="38" t="s">
        <v>179</v>
      </c>
      <c r="C38" s="39">
        <v>0</v>
      </c>
      <c r="D38" s="39">
        <v>0</v>
      </c>
      <c r="E38" s="39">
        <v>0</v>
      </c>
      <c r="F38" s="39"/>
      <c r="G38" s="39"/>
      <c r="H38" s="39"/>
      <c r="I38" s="39"/>
      <c r="J38" s="39">
        <v>27058</v>
      </c>
      <c r="K38" s="39">
        <v>30361</v>
      </c>
      <c r="L38" s="39"/>
      <c r="M38" s="39"/>
      <c r="N38" s="39"/>
      <c r="O38" s="39">
        <v>57419</v>
      </c>
      <c r="P38" s="39"/>
      <c r="Q38" s="39"/>
      <c r="R38" s="39"/>
      <c r="S38" s="39"/>
      <c r="T38" s="39">
        <v>3000</v>
      </c>
      <c r="U38" s="39">
        <v>35000</v>
      </c>
      <c r="V38" s="39"/>
      <c r="W38" s="39"/>
      <c r="X38" s="39"/>
      <c r="Y38" s="39"/>
      <c r="Z38" s="39"/>
      <c r="AA38" s="39"/>
      <c r="AB38" s="39">
        <f t="shared" si="6"/>
        <v>38000</v>
      </c>
    </row>
    <row r="39" spans="2:28" ht="15.75" customHeight="1" collapsed="1" x14ac:dyDescent="0.3">
      <c r="B39" s="36" t="s">
        <v>11</v>
      </c>
      <c r="C39" s="37">
        <v>44992.11</v>
      </c>
      <c r="D39" s="37">
        <v>46257.66</v>
      </c>
      <c r="E39" s="37">
        <v>47965.58</v>
      </c>
      <c r="F39" s="37">
        <v>20138.16</v>
      </c>
      <c r="G39" s="37">
        <v>26663.88</v>
      </c>
      <c r="H39" s="37">
        <v>48925.93</v>
      </c>
      <c r="I39" s="37">
        <v>23147.53</v>
      </c>
      <c r="J39" s="37">
        <v>21350.91</v>
      </c>
      <c r="K39" s="37">
        <v>44630.75</v>
      </c>
      <c r="L39" s="37">
        <v>0</v>
      </c>
      <c r="M39" s="37">
        <v>10347.06</v>
      </c>
      <c r="N39" s="37">
        <v>68505.75</v>
      </c>
      <c r="O39" s="37">
        <v>402925.32</v>
      </c>
      <c r="P39" s="37">
        <f t="shared" ref="P39:AA39" si="8">SUM(P40:P49)</f>
        <v>48700</v>
      </c>
      <c r="Q39" s="37">
        <f t="shared" si="8"/>
        <v>26350</v>
      </c>
      <c r="R39" s="37">
        <f t="shared" si="8"/>
        <v>68051</v>
      </c>
      <c r="S39" s="37">
        <f t="shared" si="8"/>
        <v>25470</v>
      </c>
      <c r="T39" s="37">
        <f t="shared" si="8"/>
        <v>24700</v>
      </c>
      <c r="U39" s="37">
        <f t="shared" si="8"/>
        <v>105151</v>
      </c>
      <c r="V39" s="37">
        <f t="shared" si="8"/>
        <v>2000</v>
      </c>
      <c r="W39" s="37">
        <f t="shared" si="8"/>
        <v>12400</v>
      </c>
      <c r="X39" s="37">
        <f t="shared" si="8"/>
        <v>88681</v>
      </c>
      <c r="Y39" s="37">
        <f t="shared" si="8"/>
        <v>45750</v>
      </c>
      <c r="Z39" s="37">
        <f t="shared" si="8"/>
        <v>48330</v>
      </c>
      <c r="AA39" s="37">
        <f t="shared" si="8"/>
        <v>65741</v>
      </c>
      <c r="AB39" s="37">
        <f t="shared" si="6"/>
        <v>561324</v>
      </c>
    </row>
    <row r="40" spans="2:28" ht="15.75" hidden="1" customHeight="1" outlineLevel="1" x14ac:dyDescent="0.3">
      <c r="B40" s="38" t="s">
        <v>58</v>
      </c>
      <c r="C40" s="39">
        <v>14823.14</v>
      </c>
      <c r="D40" s="39">
        <v>19138.64</v>
      </c>
      <c r="E40" s="39">
        <v>22733.35</v>
      </c>
      <c r="F40" s="39"/>
      <c r="G40" s="39">
        <v>20865.07</v>
      </c>
      <c r="H40" s="39">
        <v>11913.56</v>
      </c>
      <c r="I40" s="39">
        <v>9681.49</v>
      </c>
      <c r="J40" s="39">
        <v>8840.09</v>
      </c>
      <c r="K40" s="39">
        <v>16796</v>
      </c>
      <c r="L40" s="39"/>
      <c r="M40" s="39"/>
      <c r="N40" s="39">
        <v>18953.740000000002</v>
      </c>
      <c r="O40" s="39">
        <v>143745.07999999999</v>
      </c>
      <c r="P40" s="39">
        <v>11500</v>
      </c>
      <c r="Q40" s="39">
        <v>21500</v>
      </c>
      <c r="R40" s="39">
        <v>11500</v>
      </c>
      <c r="S40" s="39">
        <v>11500</v>
      </c>
      <c r="T40" s="39">
        <v>11500</v>
      </c>
      <c r="U40" s="39">
        <v>18500</v>
      </c>
      <c r="V40" s="39"/>
      <c r="W40" s="39"/>
      <c r="X40" s="39">
        <v>21500</v>
      </c>
      <c r="Y40" s="39">
        <v>16500</v>
      </c>
      <c r="Z40" s="39">
        <v>21500</v>
      </c>
      <c r="AA40" s="39">
        <v>21500</v>
      </c>
      <c r="AB40" s="39">
        <f t="shared" si="6"/>
        <v>167000</v>
      </c>
    </row>
    <row r="41" spans="2:28" ht="15.75" hidden="1" customHeight="1" outlineLevel="1" x14ac:dyDescent="0.3">
      <c r="B41" s="38" t="s">
        <v>60</v>
      </c>
      <c r="C41" s="39">
        <v>0</v>
      </c>
      <c r="D41" s="39">
        <v>0</v>
      </c>
      <c r="E41" s="39">
        <v>0</v>
      </c>
      <c r="F41" s="39"/>
      <c r="G41" s="39">
        <v>2503.8000000000002</v>
      </c>
      <c r="H41" s="39">
        <v>1429.62</v>
      </c>
      <c r="I41" s="39">
        <v>1161.79</v>
      </c>
      <c r="J41" s="39">
        <v>1060.8</v>
      </c>
      <c r="K41" s="39">
        <v>2015.52</v>
      </c>
      <c r="L41" s="39"/>
      <c r="M41" s="39"/>
      <c r="N41" s="39">
        <v>2274.46</v>
      </c>
      <c r="O41" s="39">
        <v>10445.990000000002</v>
      </c>
      <c r="P41" s="39"/>
      <c r="Q41" s="39">
        <v>2500</v>
      </c>
      <c r="R41" s="39">
        <v>1500</v>
      </c>
      <c r="S41" s="39">
        <v>1000</v>
      </c>
      <c r="T41" s="39">
        <v>1000</v>
      </c>
      <c r="U41" s="39">
        <v>2000</v>
      </c>
      <c r="V41" s="39"/>
      <c r="W41" s="39"/>
      <c r="X41" s="39">
        <v>2000</v>
      </c>
      <c r="Y41" s="39"/>
      <c r="Z41" s="39"/>
      <c r="AA41" s="39"/>
      <c r="AB41" s="39">
        <f t="shared" si="6"/>
        <v>10000</v>
      </c>
    </row>
    <row r="42" spans="2:28" ht="15.75" hidden="1" customHeight="1" outlineLevel="1" x14ac:dyDescent="0.3">
      <c r="B42" s="38" t="s">
        <v>61</v>
      </c>
      <c r="C42" s="39">
        <v>1778.78</v>
      </c>
      <c r="D42" s="39">
        <v>2296.64</v>
      </c>
      <c r="E42" s="39">
        <v>2728</v>
      </c>
      <c r="F42" s="39"/>
      <c r="G42" s="39">
        <v>0</v>
      </c>
      <c r="H42" s="39"/>
      <c r="I42" s="39"/>
      <c r="J42" s="39"/>
      <c r="K42" s="39"/>
      <c r="L42" s="39"/>
      <c r="M42" s="39"/>
      <c r="N42" s="39"/>
      <c r="O42" s="39">
        <v>6803.42</v>
      </c>
      <c r="P42" s="39"/>
      <c r="Q42" s="39"/>
      <c r="R42" s="39"/>
      <c r="S42" s="39"/>
      <c r="T42" s="39"/>
      <c r="U42" s="39"/>
      <c r="V42" s="39"/>
      <c r="W42" s="39"/>
      <c r="X42" s="39"/>
      <c r="Y42" s="39">
        <v>2000</v>
      </c>
      <c r="Z42" s="39">
        <v>2500</v>
      </c>
      <c r="AA42" s="39">
        <v>2500</v>
      </c>
      <c r="AB42" s="39">
        <f t="shared" si="6"/>
        <v>7000</v>
      </c>
    </row>
    <row r="43" spans="2:28" ht="15.75" hidden="1" customHeight="1" outlineLevel="1" x14ac:dyDescent="0.3">
      <c r="B43" s="38" t="s">
        <v>66</v>
      </c>
      <c r="C43" s="39">
        <v>0</v>
      </c>
      <c r="D43" s="39">
        <v>0</v>
      </c>
      <c r="E43" s="39">
        <v>0</v>
      </c>
      <c r="F43" s="39"/>
      <c r="G43" s="39"/>
      <c r="H43" s="39"/>
      <c r="I43" s="39"/>
      <c r="J43" s="39"/>
      <c r="K43" s="39"/>
      <c r="L43" s="39"/>
      <c r="M43" s="39"/>
      <c r="N43" s="39"/>
      <c r="O43" s="39">
        <v>0</v>
      </c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>
        <f t="shared" si="6"/>
        <v>0</v>
      </c>
    </row>
    <row r="44" spans="2:28" ht="15.75" hidden="1" customHeight="1" outlineLevel="1" x14ac:dyDescent="0.3">
      <c r="B44" s="38" t="s">
        <v>67</v>
      </c>
      <c r="C44" s="39">
        <v>2090.06</v>
      </c>
      <c r="D44" s="39">
        <v>2698.55</v>
      </c>
      <c r="E44" s="39">
        <v>3205.4</v>
      </c>
      <c r="F44" s="39"/>
      <c r="G44" s="39">
        <v>2941.97</v>
      </c>
      <c r="H44" s="39">
        <v>1679.81</v>
      </c>
      <c r="I44" s="39">
        <v>1365.09</v>
      </c>
      <c r="J44" s="39">
        <v>1246.45</v>
      </c>
      <c r="K44" s="39">
        <v>2368.23</v>
      </c>
      <c r="L44" s="39"/>
      <c r="M44" s="39"/>
      <c r="N44" s="39">
        <v>2672.48</v>
      </c>
      <c r="O44" s="39">
        <v>20268.04</v>
      </c>
      <c r="P44" s="39">
        <v>2000</v>
      </c>
      <c r="Q44" s="39">
        <v>2000</v>
      </c>
      <c r="R44" s="39">
        <v>2000</v>
      </c>
      <c r="S44" s="39">
        <v>2000</v>
      </c>
      <c r="T44" s="39">
        <v>2000</v>
      </c>
      <c r="U44" s="39">
        <v>2000</v>
      </c>
      <c r="V44" s="39">
        <v>2000</v>
      </c>
      <c r="W44" s="39">
        <v>2000</v>
      </c>
      <c r="X44" s="39">
        <v>2000</v>
      </c>
      <c r="Y44" s="39">
        <v>2000</v>
      </c>
      <c r="Z44" s="39">
        <v>2000</v>
      </c>
      <c r="AA44" s="39">
        <v>2000</v>
      </c>
      <c r="AB44" s="39">
        <f t="shared" si="6"/>
        <v>24000</v>
      </c>
    </row>
    <row r="45" spans="2:28" ht="15.75" hidden="1" customHeight="1" outlineLevel="1" x14ac:dyDescent="0.3">
      <c r="B45" s="38" t="s">
        <v>68</v>
      </c>
      <c r="C45" s="39">
        <v>250.81</v>
      </c>
      <c r="D45" s="39">
        <v>323.83</v>
      </c>
      <c r="E45" s="39">
        <v>384.65</v>
      </c>
      <c r="F45" s="39"/>
      <c r="G45" s="39">
        <v>353.04</v>
      </c>
      <c r="H45" s="39">
        <v>201.58</v>
      </c>
      <c r="I45" s="39">
        <v>163.81</v>
      </c>
      <c r="J45" s="39">
        <v>149.57</v>
      </c>
      <c r="K45" s="39">
        <v>284.19</v>
      </c>
      <c r="L45" s="39"/>
      <c r="M45" s="39"/>
      <c r="N45" s="39">
        <v>320.7</v>
      </c>
      <c r="O45" s="39">
        <v>2432.1799999999994</v>
      </c>
      <c r="P45" s="39"/>
      <c r="Q45" s="39">
        <v>350</v>
      </c>
      <c r="R45" s="39">
        <v>200</v>
      </c>
      <c r="S45" s="39">
        <v>170</v>
      </c>
      <c r="T45" s="39">
        <v>150</v>
      </c>
      <c r="U45" s="39">
        <v>300</v>
      </c>
      <c r="V45" s="39"/>
      <c r="W45" s="39"/>
      <c r="X45" s="39">
        <v>330</v>
      </c>
      <c r="Y45" s="39">
        <v>250</v>
      </c>
      <c r="Z45" s="39">
        <v>330</v>
      </c>
      <c r="AA45" s="39">
        <v>390</v>
      </c>
      <c r="AB45" s="39">
        <f t="shared" si="6"/>
        <v>2470</v>
      </c>
    </row>
    <row r="46" spans="2:28" ht="15.75" hidden="1" customHeight="1" outlineLevel="1" x14ac:dyDescent="0.3">
      <c r="B46" s="38" t="s">
        <v>165</v>
      </c>
      <c r="C46" s="39">
        <v>0</v>
      </c>
      <c r="D46" s="39">
        <v>0</v>
      </c>
      <c r="E46" s="39">
        <v>18365</v>
      </c>
      <c r="F46" s="39"/>
      <c r="G46" s="39"/>
      <c r="H46" s="39">
        <v>19672</v>
      </c>
      <c r="I46" s="39"/>
      <c r="J46" s="39"/>
      <c r="K46" s="39">
        <v>19672</v>
      </c>
      <c r="L46" s="39"/>
      <c r="M46" s="39"/>
      <c r="N46" s="39">
        <v>19672</v>
      </c>
      <c r="O46" s="39">
        <v>77381</v>
      </c>
      <c r="P46" s="39"/>
      <c r="Q46" s="39"/>
      <c r="R46" s="39">
        <v>38851</v>
      </c>
      <c r="S46" s="39"/>
      <c r="T46" s="39"/>
      <c r="U46" s="39">
        <v>38851</v>
      </c>
      <c r="V46" s="39"/>
      <c r="W46" s="39"/>
      <c r="X46" s="39">
        <v>38851</v>
      </c>
      <c r="Y46" s="39"/>
      <c r="Z46" s="39"/>
      <c r="AA46" s="39">
        <v>38851</v>
      </c>
      <c r="AB46" s="39">
        <f t="shared" si="6"/>
        <v>155404</v>
      </c>
    </row>
    <row r="47" spans="2:28" ht="15.75" hidden="1" customHeight="1" outlineLevel="1" x14ac:dyDescent="0.3">
      <c r="B47" s="38" t="s">
        <v>180</v>
      </c>
      <c r="C47" s="39">
        <v>26049.32</v>
      </c>
      <c r="D47" s="39">
        <v>21800</v>
      </c>
      <c r="E47" s="39">
        <v>0</v>
      </c>
      <c r="F47" s="39">
        <v>20000</v>
      </c>
      <c r="G47" s="39"/>
      <c r="H47" s="39"/>
      <c r="I47" s="39">
        <v>10000</v>
      </c>
      <c r="J47" s="39">
        <v>10000</v>
      </c>
      <c r="K47" s="39"/>
      <c r="L47" s="39"/>
      <c r="M47" s="39">
        <v>10000</v>
      </c>
      <c r="N47" s="39">
        <v>10000</v>
      </c>
      <c r="O47" s="39">
        <v>107849.32</v>
      </c>
      <c r="P47" s="39">
        <v>20000</v>
      </c>
      <c r="Q47" s="39"/>
      <c r="R47" s="39"/>
      <c r="S47" s="39">
        <v>10000</v>
      </c>
      <c r="T47" s="39">
        <v>10000</v>
      </c>
      <c r="U47" s="39"/>
      <c r="V47" s="39"/>
      <c r="W47" s="39">
        <v>10000</v>
      </c>
      <c r="X47" s="39">
        <v>10000</v>
      </c>
      <c r="Y47" s="39">
        <v>25000</v>
      </c>
      <c r="Z47" s="39">
        <v>22000</v>
      </c>
      <c r="AA47" s="39"/>
      <c r="AB47" s="39">
        <f t="shared" si="6"/>
        <v>107000</v>
      </c>
    </row>
    <row r="48" spans="2:28" ht="15.75" hidden="1" customHeight="1" outlineLevel="1" x14ac:dyDescent="0.3">
      <c r="B48" s="38" t="s">
        <v>71</v>
      </c>
      <c r="C48" s="39">
        <v>0</v>
      </c>
      <c r="D48" s="39">
        <v>0</v>
      </c>
      <c r="E48" s="39">
        <v>549.17999999999995</v>
      </c>
      <c r="F48" s="39">
        <v>138.16</v>
      </c>
      <c r="G48" s="39"/>
      <c r="H48" s="39">
        <v>14029.36</v>
      </c>
      <c r="I48" s="39">
        <v>775.35</v>
      </c>
      <c r="J48" s="39">
        <v>54</v>
      </c>
      <c r="K48" s="39">
        <v>3494.81</v>
      </c>
      <c r="L48" s="39"/>
      <c r="M48" s="39"/>
      <c r="N48" s="39">
        <v>14612.37</v>
      </c>
      <c r="O48" s="39">
        <v>33653.230000000003</v>
      </c>
      <c r="P48" s="39">
        <v>15200</v>
      </c>
      <c r="Q48" s="39"/>
      <c r="R48" s="39">
        <v>14000</v>
      </c>
      <c r="S48" s="39">
        <v>800</v>
      </c>
      <c r="T48" s="39">
        <v>50</v>
      </c>
      <c r="U48" s="39">
        <v>43500</v>
      </c>
      <c r="V48" s="39"/>
      <c r="W48" s="39"/>
      <c r="X48" s="39">
        <v>14000</v>
      </c>
      <c r="Y48" s="39"/>
      <c r="Z48" s="39"/>
      <c r="AA48" s="39">
        <v>500</v>
      </c>
      <c r="AB48" s="39">
        <f t="shared" si="6"/>
        <v>88050</v>
      </c>
    </row>
    <row r="49" spans="2:28" ht="15.75" hidden="1" customHeight="1" outlineLevel="1" x14ac:dyDescent="0.3">
      <c r="B49" s="38" t="s">
        <v>181</v>
      </c>
      <c r="C49" s="39">
        <v>0</v>
      </c>
      <c r="D49" s="39">
        <v>0</v>
      </c>
      <c r="E49" s="39">
        <v>0</v>
      </c>
      <c r="F49" s="39"/>
      <c r="G49" s="39"/>
      <c r="H49" s="39"/>
      <c r="I49" s="39"/>
      <c r="J49" s="39"/>
      <c r="K49" s="39"/>
      <c r="L49" s="39"/>
      <c r="M49" s="39">
        <v>347.06</v>
      </c>
      <c r="N49" s="39"/>
      <c r="O49" s="39">
        <v>347.06</v>
      </c>
      <c r="P49" s="39"/>
      <c r="Q49" s="39"/>
      <c r="R49" s="39"/>
      <c r="S49" s="39"/>
      <c r="T49" s="39"/>
      <c r="U49" s="39"/>
      <c r="V49" s="39"/>
      <c r="W49" s="39">
        <v>400</v>
      </c>
      <c r="X49" s="39"/>
      <c r="Y49" s="39"/>
      <c r="Z49" s="39"/>
      <c r="AA49" s="39"/>
      <c r="AB49" s="39">
        <f t="shared" si="6"/>
        <v>400</v>
      </c>
    </row>
    <row r="50" spans="2:28" ht="15.75" customHeight="1" collapsed="1" x14ac:dyDescent="0.3">
      <c r="B50" s="36" t="s">
        <v>12</v>
      </c>
      <c r="C50" s="37">
        <v>0</v>
      </c>
      <c r="D50" s="37">
        <v>0</v>
      </c>
      <c r="E50" s="37">
        <v>245.4</v>
      </c>
      <c r="F50" s="37">
        <v>500</v>
      </c>
      <c r="G50" s="37">
        <v>1451.08</v>
      </c>
      <c r="H50" s="37">
        <v>0</v>
      </c>
      <c r="I50" s="37">
        <v>0</v>
      </c>
      <c r="J50" s="37">
        <v>280</v>
      </c>
      <c r="K50" s="37">
        <v>1971.61</v>
      </c>
      <c r="L50" s="37">
        <v>1500</v>
      </c>
      <c r="M50" s="37">
        <v>0</v>
      </c>
      <c r="N50" s="37">
        <v>3593.5</v>
      </c>
      <c r="O50" s="37">
        <v>9541.59</v>
      </c>
      <c r="P50" s="37">
        <f t="shared" ref="P50:AA50" si="9">SUM(P51:P57)</f>
        <v>500</v>
      </c>
      <c r="Q50" s="37">
        <f t="shared" si="9"/>
        <v>1500</v>
      </c>
      <c r="R50" s="37">
        <f t="shared" si="9"/>
        <v>0</v>
      </c>
      <c r="S50" s="37">
        <f t="shared" si="9"/>
        <v>0</v>
      </c>
      <c r="T50" s="37">
        <f t="shared" si="9"/>
        <v>300</v>
      </c>
      <c r="U50" s="37">
        <f t="shared" si="9"/>
        <v>2400</v>
      </c>
      <c r="V50" s="37">
        <f t="shared" si="9"/>
        <v>1500</v>
      </c>
      <c r="W50" s="37">
        <f t="shared" si="9"/>
        <v>0</v>
      </c>
      <c r="X50" s="37">
        <f t="shared" si="9"/>
        <v>4000</v>
      </c>
      <c r="Y50" s="37">
        <f t="shared" si="9"/>
        <v>0</v>
      </c>
      <c r="Z50" s="37">
        <f t="shared" si="9"/>
        <v>0</v>
      </c>
      <c r="AA50" s="37">
        <f t="shared" si="9"/>
        <v>300</v>
      </c>
      <c r="AB50" s="37">
        <f t="shared" si="6"/>
        <v>10500</v>
      </c>
    </row>
    <row r="51" spans="2:28" ht="15.75" hidden="1" customHeight="1" outlineLevel="1" x14ac:dyDescent="0.3">
      <c r="B51" s="38" t="s">
        <v>182</v>
      </c>
      <c r="C51" s="39">
        <v>0</v>
      </c>
      <c r="D51" s="39">
        <v>0</v>
      </c>
      <c r="E51" s="39">
        <v>0</v>
      </c>
      <c r="F51" s="39"/>
      <c r="G51" s="39"/>
      <c r="H51" s="39"/>
      <c r="I51" s="39"/>
      <c r="J51" s="39"/>
      <c r="K51" s="39">
        <v>1586.11</v>
      </c>
      <c r="L51" s="39"/>
      <c r="M51" s="39"/>
      <c r="N51" s="39"/>
      <c r="O51" s="39">
        <v>1586.11</v>
      </c>
      <c r="P51" s="39"/>
      <c r="Q51" s="39"/>
      <c r="R51" s="39"/>
      <c r="S51" s="39"/>
      <c r="T51" s="39"/>
      <c r="U51" s="39">
        <v>2000</v>
      </c>
      <c r="V51" s="39"/>
      <c r="W51" s="39"/>
      <c r="X51" s="39"/>
      <c r="Y51" s="39"/>
      <c r="Z51" s="39"/>
      <c r="AA51" s="39"/>
      <c r="AB51" s="39">
        <f t="shared" si="6"/>
        <v>2000</v>
      </c>
    </row>
    <row r="52" spans="2:28" ht="15.75" hidden="1" customHeight="1" outlineLevel="1" x14ac:dyDescent="0.3">
      <c r="B52" s="38" t="s">
        <v>75</v>
      </c>
      <c r="C52" s="39">
        <v>0</v>
      </c>
      <c r="D52" s="39">
        <v>0</v>
      </c>
      <c r="E52" s="39">
        <v>0</v>
      </c>
      <c r="F52" s="39"/>
      <c r="G52" s="39"/>
      <c r="H52" s="39"/>
      <c r="I52" s="39"/>
      <c r="J52" s="39"/>
      <c r="K52" s="39"/>
      <c r="L52" s="39">
        <v>1500</v>
      </c>
      <c r="M52" s="39"/>
      <c r="N52" s="39"/>
      <c r="O52" s="39">
        <v>1500</v>
      </c>
      <c r="P52" s="39"/>
      <c r="Q52" s="39"/>
      <c r="R52" s="39"/>
      <c r="S52" s="39"/>
      <c r="T52" s="39"/>
      <c r="U52" s="39"/>
      <c r="V52" s="39">
        <v>1500</v>
      </c>
      <c r="W52" s="39"/>
      <c r="X52" s="39"/>
      <c r="Y52" s="39"/>
      <c r="Z52" s="39"/>
      <c r="AA52" s="39"/>
      <c r="AB52" s="39">
        <f t="shared" si="6"/>
        <v>1500</v>
      </c>
    </row>
    <row r="53" spans="2:28" ht="15.75" hidden="1" customHeight="1" outlineLevel="1" x14ac:dyDescent="0.3">
      <c r="B53" s="38" t="s">
        <v>82</v>
      </c>
      <c r="C53" s="39">
        <v>0</v>
      </c>
      <c r="D53" s="39">
        <v>0</v>
      </c>
      <c r="E53" s="39">
        <v>245.4</v>
      </c>
      <c r="F53" s="39"/>
      <c r="G53" s="39"/>
      <c r="H53" s="39"/>
      <c r="I53" s="39"/>
      <c r="J53" s="39"/>
      <c r="K53" s="39"/>
      <c r="L53" s="39"/>
      <c r="M53" s="39"/>
      <c r="N53" s="39"/>
      <c r="O53" s="39">
        <v>245.4</v>
      </c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>
        <v>300</v>
      </c>
      <c r="AB53" s="39">
        <f t="shared" si="6"/>
        <v>300</v>
      </c>
    </row>
    <row r="54" spans="2:28" ht="15.75" hidden="1" customHeight="1" outlineLevel="1" x14ac:dyDescent="0.3">
      <c r="B54" s="38" t="s">
        <v>88</v>
      </c>
      <c r="C54" s="39">
        <v>0</v>
      </c>
      <c r="D54" s="39">
        <v>0</v>
      </c>
      <c r="E54" s="39">
        <v>0</v>
      </c>
      <c r="F54" s="39"/>
      <c r="G54" s="39"/>
      <c r="H54" s="39"/>
      <c r="I54" s="39"/>
      <c r="J54" s="39">
        <v>280</v>
      </c>
      <c r="K54" s="39">
        <v>385.5</v>
      </c>
      <c r="L54" s="39"/>
      <c r="M54" s="39"/>
      <c r="N54" s="39"/>
      <c r="O54" s="39">
        <v>665.5</v>
      </c>
      <c r="P54" s="39"/>
      <c r="Q54" s="39"/>
      <c r="R54" s="39"/>
      <c r="S54" s="39"/>
      <c r="T54" s="39">
        <v>300</v>
      </c>
      <c r="U54" s="39">
        <v>400</v>
      </c>
      <c r="V54" s="39"/>
      <c r="W54" s="39"/>
      <c r="X54" s="39"/>
      <c r="Y54" s="39"/>
      <c r="Z54" s="39"/>
      <c r="AA54" s="39"/>
      <c r="AB54" s="39">
        <f t="shared" si="6"/>
        <v>700</v>
      </c>
    </row>
    <row r="55" spans="2:28" ht="15.75" hidden="1" customHeight="1" outlineLevel="1" x14ac:dyDescent="0.3">
      <c r="B55" s="38" t="s">
        <v>111</v>
      </c>
      <c r="C55" s="39">
        <v>0</v>
      </c>
      <c r="D55" s="39">
        <v>0</v>
      </c>
      <c r="E55" s="39">
        <v>0</v>
      </c>
      <c r="F55" s="39"/>
      <c r="G55" s="39"/>
      <c r="H55" s="39"/>
      <c r="I55" s="39"/>
      <c r="J55" s="39"/>
      <c r="K55" s="39"/>
      <c r="L55" s="39"/>
      <c r="M55" s="39"/>
      <c r="N55" s="39"/>
      <c r="O55" s="39">
        <v>0</v>
      </c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>
        <f t="shared" si="6"/>
        <v>0</v>
      </c>
    </row>
    <row r="56" spans="2:28" ht="15.75" hidden="1" customHeight="1" outlineLevel="1" x14ac:dyDescent="0.3">
      <c r="B56" s="38" t="s">
        <v>113</v>
      </c>
      <c r="C56" s="39">
        <v>0</v>
      </c>
      <c r="D56" s="39">
        <v>0</v>
      </c>
      <c r="E56" s="39">
        <v>0</v>
      </c>
      <c r="F56" s="39">
        <v>500</v>
      </c>
      <c r="G56" s="39"/>
      <c r="H56" s="39"/>
      <c r="I56" s="39"/>
      <c r="J56" s="39"/>
      <c r="K56" s="39"/>
      <c r="L56" s="39"/>
      <c r="M56" s="39"/>
      <c r="N56" s="39"/>
      <c r="O56" s="39">
        <v>500</v>
      </c>
      <c r="P56" s="39">
        <v>500</v>
      </c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>
        <f t="shared" si="6"/>
        <v>500</v>
      </c>
    </row>
    <row r="57" spans="2:28" ht="15.75" hidden="1" customHeight="1" outlineLevel="1" x14ac:dyDescent="0.3">
      <c r="B57" s="38" t="s">
        <v>114</v>
      </c>
      <c r="C57" s="39">
        <v>0</v>
      </c>
      <c r="D57" s="39">
        <v>0</v>
      </c>
      <c r="E57" s="39">
        <v>0</v>
      </c>
      <c r="F57" s="39"/>
      <c r="G57" s="39">
        <v>1451.08</v>
      </c>
      <c r="H57" s="39"/>
      <c r="I57" s="39"/>
      <c r="J57" s="39"/>
      <c r="K57" s="39"/>
      <c r="L57" s="39"/>
      <c r="M57" s="39"/>
      <c r="N57" s="39">
        <v>3593.5</v>
      </c>
      <c r="O57" s="39">
        <v>5044.58</v>
      </c>
      <c r="P57" s="39"/>
      <c r="Q57" s="39">
        <v>1500</v>
      </c>
      <c r="R57" s="39"/>
      <c r="S57" s="39"/>
      <c r="T57" s="39"/>
      <c r="U57" s="39"/>
      <c r="V57" s="39"/>
      <c r="W57" s="39"/>
      <c r="X57" s="39">
        <v>4000</v>
      </c>
      <c r="Y57" s="39"/>
      <c r="Z57" s="39"/>
      <c r="AA57" s="39"/>
      <c r="AB57" s="39">
        <f t="shared" si="6"/>
        <v>5500</v>
      </c>
    </row>
    <row r="58" spans="2:28" ht="15.75" customHeight="1" collapsed="1" x14ac:dyDescent="0.3">
      <c r="B58" s="36" t="s">
        <v>13</v>
      </c>
      <c r="C58" s="37">
        <v>0</v>
      </c>
      <c r="D58" s="37">
        <v>12585</v>
      </c>
      <c r="E58" s="37">
        <v>0</v>
      </c>
      <c r="F58" s="37">
        <v>0</v>
      </c>
      <c r="G58" s="37">
        <v>5069.37</v>
      </c>
      <c r="H58" s="37">
        <v>2350</v>
      </c>
      <c r="I58" s="37">
        <v>0</v>
      </c>
      <c r="J58" s="37">
        <v>8579</v>
      </c>
      <c r="K58" s="37">
        <v>0</v>
      </c>
      <c r="L58" s="37">
        <v>0</v>
      </c>
      <c r="M58" s="37">
        <v>0</v>
      </c>
      <c r="N58" s="37">
        <v>420</v>
      </c>
      <c r="O58" s="37">
        <v>29003.37</v>
      </c>
      <c r="P58" s="37">
        <f t="shared" ref="P58:AA58" si="10">SUM(P59:P60)</f>
        <v>0</v>
      </c>
      <c r="Q58" s="37">
        <f t="shared" si="10"/>
        <v>6000</v>
      </c>
      <c r="R58" s="37">
        <f t="shared" si="10"/>
        <v>12400</v>
      </c>
      <c r="S58" s="37">
        <f t="shared" si="10"/>
        <v>20000</v>
      </c>
      <c r="T58" s="37">
        <f t="shared" si="10"/>
        <v>11000</v>
      </c>
      <c r="U58" s="37">
        <f t="shared" si="10"/>
        <v>0</v>
      </c>
      <c r="V58" s="37">
        <f t="shared" si="10"/>
        <v>0</v>
      </c>
      <c r="W58" s="37">
        <f t="shared" si="10"/>
        <v>0</v>
      </c>
      <c r="X58" s="37">
        <f t="shared" si="10"/>
        <v>600</v>
      </c>
      <c r="Y58" s="37">
        <f t="shared" si="10"/>
        <v>0</v>
      </c>
      <c r="Z58" s="37">
        <f t="shared" si="10"/>
        <v>15000</v>
      </c>
      <c r="AA58" s="37">
        <f t="shared" si="10"/>
        <v>0</v>
      </c>
      <c r="AB58" s="37">
        <f t="shared" si="6"/>
        <v>65000</v>
      </c>
    </row>
    <row r="59" spans="2:28" ht="15.75" hidden="1" customHeight="1" outlineLevel="1" x14ac:dyDescent="0.3">
      <c r="B59" s="38" t="s">
        <v>123</v>
      </c>
      <c r="C59" s="39">
        <v>0</v>
      </c>
      <c r="D59" s="39">
        <v>12585</v>
      </c>
      <c r="E59" s="39">
        <v>0</v>
      </c>
      <c r="F59" s="39"/>
      <c r="G59" s="39">
        <v>5069.37</v>
      </c>
      <c r="H59" s="39"/>
      <c r="I59" s="39"/>
      <c r="J59" s="39">
        <v>8579</v>
      </c>
      <c r="K59" s="39"/>
      <c r="L59" s="39"/>
      <c r="M59" s="39"/>
      <c r="N59" s="39">
        <v>420</v>
      </c>
      <c r="O59" s="39">
        <v>26653.37</v>
      </c>
      <c r="P59" s="39"/>
      <c r="Q59" s="39">
        <v>6000</v>
      </c>
      <c r="R59" s="39">
        <v>10000</v>
      </c>
      <c r="S59" s="39">
        <v>20000</v>
      </c>
      <c r="T59" s="39">
        <v>11000</v>
      </c>
      <c r="U59" s="39"/>
      <c r="V59" s="39"/>
      <c r="W59" s="39"/>
      <c r="X59" s="39">
        <v>600</v>
      </c>
      <c r="Y59" s="39"/>
      <c r="Z59" s="39">
        <v>15000</v>
      </c>
      <c r="AA59" s="39"/>
      <c r="AB59" s="39">
        <f t="shared" si="6"/>
        <v>62600</v>
      </c>
    </row>
    <row r="60" spans="2:28" ht="15.75" hidden="1" customHeight="1" outlineLevel="1" x14ac:dyDescent="0.3">
      <c r="B60" s="38" t="s">
        <v>125</v>
      </c>
      <c r="C60" s="39">
        <v>0</v>
      </c>
      <c r="D60" s="39">
        <v>0</v>
      </c>
      <c r="E60" s="39">
        <v>0</v>
      </c>
      <c r="F60" s="39"/>
      <c r="G60" s="39"/>
      <c r="H60" s="39">
        <v>2350</v>
      </c>
      <c r="I60" s="39"/>
      <c r="J60" s="39"/>
      <c r="K60" s="39"/>
      <c r="L60" s="39"/>
      <c r="M60" s="39"/>
      <c r="N60" s="39"/>
      <c r="O60" s="39">
        <v>2350</v>
      </c>
      <c r="P60" s="39"/>
      <c r="Q60" s="39"/>
      <c r="R60" s="39">
        <v>2400</v>
      </c>
      <c r="S60" s="39"/>
      <c r="T60" s="39"/>
      <c r="U60" s="39"/>
      <c r="V60" s="39"/>
      <c r="W60" s="39"/>
      <c r="X60" s="39"/>
      <c r="Y60" s="39"/>
      <c r="Z60" s="39"/>
      <c r="AA60" s="39"/>
      <c r="AB60" s="39">
        <f t="shared" si="6"/>
        <v>2400</v>
      </c>
    </row>
    <row r="61" spans="2:28" ht="15.75" customHeight="1" collapsed="1" x14ac:dyDescent="0.3">
      <c r="B61" s="36" t="s">
        <v>14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>
        <f t="shared" si="6"/>
        <v>0</v>
      </c>
    </row>
    <row r="62" spans="2:28" ht="15.75" customHeight="1" x14ac:dyDescent="0.3">
      <c r="B62" s="36" t="s">
        <v>15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>
        <f t="shared" si="6"/>
        <v>0</v>
      </c>
    </row>
    <row r="63" spans="2:28" ht="15.75" customHeight="1" x14ac:dyDescent="0.3">
      <c r="B63" s="36" t="s">
        <v>16</v>
      </c>
      <c r="C63" s="37">
        <v>0</v>
      </c>
      <c r="D63" s="37">
        <v>1204</v>
      </c>
      <c r="E63" s="37">
        <v>14025.56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15229.56</v>
      </c>
      <c r="P63" s="37">
        <f t="shared" ref="P63:Y63" si="11">SUM(P64:P65)</f>
        <v>5000</v>
      </c>
      <c r="Q63" s="37">
        <f t="shared" si="11"/>
        <v>0</v>
      </c>
      <c r="R63" s="37">
        <f t="shared" si="11"/>
        <v>0</v>
      </c>
      <c r="S63" s="37">
        <f t="shared" si="11"/>
        <v>0</v>
      </c>
      <c r="T63" s="37">
        <f t="shared" si="11"/>
        <v>0</v>
      </c>
      <c r="U63" s="37">
        <f t="shared" si="11"/>
        <v>0</v>
      </c>
      <c r="V63" s="37">
        <f t="shared" si="11"/>
        <v>0</v>
      </c>
      <c r="W63" s="37">
        <f t="shared" si="11"/>
        <v>0</v>
      </c>
      <c r="X63" s="37">
        <f t="shared" si="11"/>
        <v>0</v>
      </c>
      <c r="Y63" s="37">
        <f t="shared" si="11"/>
        <v>0</v>
      </c>
      <c r="Z63" s="37">
        <v>1200</v>
      </c>
      <c r="AA63" s="37">
        <v>14000</v>
      </c>
      <c r="AB63" s="37">
        <f t="shared" si="6"/>
        <v>20200</v>
      </c>
    </row>
    <row r="64" spans="2:28" ht="15.75" hidden="1" customHeight="1" outlineLevel="1" x14ac:dyDescent="0.3">
      <c r="B64" s="38" t="s">
        <v>127</v>
      </c>
      <c r="C64" s="39">
        <v>0</v>
      </c>
      <c r="D64" s="39">
        <v>1204</v>
      </c>
      <c r="E64" s="39">
        <v>14025.56</v>
      </c>
      <c r="F64" s="39"/>
      <c r="G64" s="39"/>
      <c r="H64" s="39"/>
      <c r="I64" s="39"/>
      <c r="J64" s="39"/>
      <c r="K64" s="39"/>
      <c r="L64" s="39"/>
      <c r="M64" s="39"/>
      <c r="N64" s="39"/>
      <c r="O64" s="39">
        <v>15229.56</v>
      </c>
      <c r="P64" s="39">
        <v>5000</v>
      </c>
      <c r="Q64" s="39"/>
      <c r="R64" s="39"/>
      <c r="S64" s="39"/>
      <c r="T64" s="39"/>
      <c r="U64" s="39"/>
      <c r="V64" s="39"/>
      <c r="W64" s="39"/>
      <c r="X64" s="39"/>
      <c r="Y64" s="39"/>
      <c r="Z64" s="39">
        <v>1200</v>
      </c>
      <c r="AA64" s="39">
        <v>14000</v>
      </c>
      <c r="AB64" s="39">
        <f t="shared" si="6"/>
        <v>20200</v>
      </c>
    </row>
    <row r="65" spans="2:28" ht="15.75" hidden="1" customHeight="1" outlineLevel="1" x14ac:dyDescent="0.3">
      <c r="B65" s="38" t="s">
        <v>128</v>
      </c>
      <c r="C65" s="39">
        <v>0</v>
      </c>
      <c r="D65" s="39">
        <v>0</v>
      </c>
      <c r="E65" s="39">
        <v>0</v>
      </c>
      <c r="F65" s="39"/>
      <c r="G65" s="39"/>
      <c r="H65" s="39"/>
      <c r="I65" s="39"/>
      <c r="J65" s="39"/>
      <c r="K65" s="39"/>
      <c r="L65" s="39"/>
      <c r="M65" s="39"/>
      <c r="N65" s="39"/>
      <c r="O65" s="39">
        <v>0</v>
      </c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>
        <f t="shared" si="6"/>
        <v>0</v>
      </c>
    </row>
    <row r="66" spans="2:28" ht="15.75" customHeight="1" collapsed="1" x14ac:dyDescent="0.3">
      <c r="B66" s="36" t="s">
        <v>5</v>
      </c>
      <c r="C66" s="37"/>
      <c r="D66" s="37"/>
      <c r="E66" s="37"/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>
        <f t="shared" si="6"/>
        <v>0</v>
      </c>
    </row>
    <row r="67" spans="2:28" ht="15.75" customHeight="1" x14ac:dyDescent="0.3">
      <c r="B67" s="36" t="s">
        <v>17</v>
      </c>
      <c r="C67" s="37">
        <v>271</v>
      </c>
      <c r="D67" s="37">
        <v>352.65</v>
      </c>
      <c r="E67" s="37">
        <v>425.65</v>
      </c>
      <c r="F67" s="37">
        <v>14</v>
      </c>
      <c r="G67" s="37">
        <v>271</v>
      </c>
      <c r="H67" s="37">
        <v>24390.76</v>
      </c>
      <c r="I67" s="37">
        <v>141.16</v>
      </c>
      <c r="J67" s="37">
        <v>359.19</v>
      </c>
      <c r="K67" s="37">
        <v>230.79</v>
      </c>
      <c r="L67" s="37">
        <v>0</v>
      </c>
      <c r="M67" s="37">
        <v>99.76</v>
      </c>
      <c r="N67" s="37">
        <v>750</v>
      </c>
      <c r="O67" s="37">
        <v>27305.959999999995</v>
      </c>
      <c r="P67" s="37">
        <f t="shared" ref="P67:AA67" si="12">SUM(P68:P74)</f>
        <v>0</v>
      </c>
      <c r="Q67" s="37">
        <f t="shared" si="12"/>
        <v>300</v>
      </c>
      <c r="R67" s="37">
        <f t="shared" si="12"/>
        <v>24400</v>
      </c>
      <c r="S67" s="37">
        <f t="shared" si="12"/>
        <v>150</v>
      </c>
      <c r="T67" s="37">
        <f t="shared" si="12"/>
        <v>350</v>
      </c>
      <c r="U67" s="37">
        <f t="shared" si="12"/>
        <v>200</v>
      </c>
      <c r="V67" s="37">
        <f t="shared" si="12"/>
        <v>0</v>
      </c>
      <c r="W67" s="37">
        <f t="shared" si="12"/>
        <v>100</v>
      </c>
      <c r="X67" s="37">
        <f t="shared" si="12"/>
        <v>50</v>
      </c>
      <c r="Y67" s="37">
        <f t="shared" si="12"/>
        <v>400</v>
      </c>
      <c r="Z67" s="37">
        <f t="shared" si="12"/>
        <v>300</v>
      </c>
      <c r="AA67" s="37">
        <f t="shared" si="12"/>
        <v>500</v>
      </c>
      <c r="AB67" s="37">
        <f t="shared" si="6"/>
        <v>26750</v>
      </c>
    </row>
    <row r="68" spans="2:28" ht="15.75" customHeight="1" outlineLevel="1" x14ac:dyDescent="0.3">
      <c r="B68" s="38" t="s">
        <v>130</v>
      </c>
      <c r="C68" s="39">
        <v>271</v>
      </c>
      <c r="D68" s="39">
        <v>271</v>
      </c>
      <c r="E68" s="39">
        <v>271</v>
      </c>
      <c r="F68" s="39"/>
      <c r="G68" s="39">
        <v>271</v>
      </c>
      <c r="H68" s="39">
        <v>271</v>
      </c>
      <c r="I68" s="39">
        <v>1</v>
      </c>
      <c r="J68" s="39"/>
      <c r="K68" s="39"/>
      <c r="L68" s="39"/>
      <c r="M68" s="39"/>
      <c r="N68" s="39"/>
      <c r="O68" s="39">
        <v>1356</v>
      </c>
      <c r="P68" s="39"/>
      <c r="Q68" s="39">
        <v>300</v>
      </c>
      <c r="R68" s="39">
        <v>300</v>
      </c>
      <c r="S68" s="39"/>
      <c r="T68" s="39"/>
      <c r="U68" s="39"/>
      <c r="V68" s="39"/>
      <c r="W68" s="39"/>
      <c r="X68" s="39"/>
      <c r="Y68" s="39">
        <v>300</v>
      </c>
      <c r="Z68" s="39">
        <v>300</v>
      </c>
      <c r="AA68" s="39">
        <v>300</v>
      </c>
      <c r="AB68" s="39">
        <f t="shared" si="6"/>
        <v>1500</v>
      </c>
    </row>
    <row r="69" spans="2:28" ht="15.75" customHeight="1" outlineLevel="1" x14ac:dyDescent="0.3">
      <c r="B69" s="38" t="s">
        <v>183</v>
      </c>
      <c r="C69" s="39">
        <v>0</v>
      </c>
      <c r="D69" s="39">
        <v>0</v>
      </c>
      <c r="E69" s="39">
        <v>0</v>
      </c>
      <c r="F69" s="39"/>
      <c r="G69" s="39"/>
      <c r="H69" s="39">
        <v>24000</v>
      </c>
      <c r="I69" s="39"/>
      <c r="J69" s="39"/>
      <c r="K69" s="39"/>
      <c r="L69" s="39"/>
      <c r="M69" s="39"/>
      <c r="N69" s="39">
        <v>750</v>
      </c>
      <c r="O69" s="39">
        <v>24750</v>
      </c>
      <c r="P69" s="39"/>
      <c r="Q69" s="39"/>
      <c r="R69" s="39">
        <v>24000</v>
      </c>
      <c r="S69" s="39"/>
      <c r="T69" s="39"/>
      <c r="U69" s="39"/>
      <c r="V69" s="39"/>
      <c r="W69" s="39"/>
      <c r="X69" s="39"/>
      <c r="Y69" s="39"/>
      <c r="Z69" s="39"/>
      <c r="AA69" s="39"/>
      <c r="AB69" s="39">
        <f t="shared" si="6"/>
        <v>24000</v>
      </c>
    </row>
    <row r="70" spans="2:28" ht="15.75" customHeight="1" outlineLevel="1" x14ac:dyDescent="0.3">
      <c r="B70" s="38" t="s">
        <v>131</v>
      </c>
      <c r="C70" s="39">
        <v>0</v>
      </c>
      <c r="D70" s="39">
        <v>0</v>
      </c>
      <c r="E70" s="39">
        <v>0.65</v>
      </c>
      <c r="F70" s="39"/>
      <c r="G70" s="39"/>
      <c r="H70" s="39"/>
      <c r="I70" s="39"/>
      <c r="J70" s="39">
        <v>0.01</v>
      </c>
      <c r="K70" s="39"/>
      <c r="L70" s="39"/>
      <c r="M70" s="39"/>
      <c r="N70" s="39"/>
      <c r="O70" s="39">
        <v>0.66</v>
      </c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>
        <f t="shared" si="6"/>
        <v>0</v>
      </c>
    </row>
    <row r="71" spans="2:28" ht="15.75" customHeight="1" outlineLevel="1" x14ac:dyDescent="0.3">
      <c r="B71" s="38" t="s">
        <v>132</v>
      </c>
      <c r="C71" s="39">
        <v>0</v>
      </c>
      <c r="D71" s="39">
        <v>0</v>
      </c>
      <c r="E71" s="39">
        <v>0</v>
      </c>
      <c r="F71" s="39"/>
      <c r="G71" s="39"/>
      <c r="H71" s="39"/>
      <c r="I71" s="39">
        <v>50</v>
      </c>
      <c r="J71" s="39">
        <v>50</v>
      </c>
      <c r="K71" s="39"/>
      <c r="L71" s="39"/>
      <c r="M71" s="39"/>
      <c r="N71" s="39"/>
      <c r="O71" s="39">
        <v>100</v>
      </c>
      <c r="P71" s="39"/>
      <c r="Q71" s="39"/>
      <c r="R71" s="39"/>
      <c r="S71" s="39">
        <v>50</v>
      </c>
      <c r="T71" s="39">
        <v>50</v>
      </c>
      <c r="U71" s="39"/>
      <c r="V71" s="39"/>
      <c r="W71" s="39"/>
      <c r="X71" s="39"/>
      <c r="Y71" s="39"/>
      <c r="Z71" s="39"/>
      <c r="AA71" s="39"/>
      <c r="AB71" s="39">
        <f t="shared" si="6"/>
        <v>100</v>
      </c>
    </row>
    <row r="72" spans="2:28" ht="15.75" customHeight="1" outlineLevel="1" x14ac:dyDescent="0.3">
      <c r="B72" s="38" t="s">
        <v>133</v>
      </c>
      <c r="C72" s="39">
        <v>0</v>
      </c>
      <c r="D72" s="39">
        <v>0</v>
      </c>
      <c r="E72" s="39">
        <v>154</v>
      </c>
      <c r="F72" s="39">
        <v>14</v>
      </c>
      <c r="G72" s="39"/>
      <c r="H72" s="39"/>
      <c r="I72" s="39"/>
      <c r="J72" s="39"/>
      <c r="K72" s="39"/>
      <c r="L72" s="39"/>
      <c r="M72" s="39"/>
      <c r="N72" s="39"/>
      <c r="O72" s="39">
        <v>168</v>
      </c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>
        <v>200</v>
      </c>
      <c r="AB72" s="39">
        <f t="shared" si="6"/>
        <v>200</v>
      </c>
    </row>
    <row r="73" spans="2:28" ht="15.75" customHeight="1" outlineLevel="1" x14ac:dyDescent="0.3">
      <c r="B73" s="38" t="s">
        <v>134</v>
      </c>
      <c r="C73" s="39">
        <v>0</v>
      </c>
      <c r="D73" s="39">
        <v>81.650000000000006</v>
      </c>
      <c r="E73" s="39">
        <v>0</v>
      </c>
      <c r="F73" s="39"/>
      <c r="G73" s="39"/>
      <c r="H73" s="39">
        <v>119.76</v>
      </c>
      <c r="I73" s="39">
        <v>90.16</v>
      </c>
      <c r="J73" s="39">
        <v>309.18</v>
      </c>
      <c r="K73" s="39">
        <v>230.79</v>
      </c>
      <c r="L73" s="39"/>
      <c r="M73" s="39">
        <v>99.76</v>
      </c>
      <c r="N73" s="39"/>
      <c r="O73" s="39">
        <v>931.3</v>
      </c>
      <c r="P73" s="39"/>
      <c r="Q73" s="39"/>
      <c r="R73" s="39">
        <v>100</v>
      </c>
      <c r="S73" s="39">
        <v>100</v>
      </c>
      <c r="T73" s="39">
        <v>300</v>
      </c>
      <c r="U73" s="39">
        <v>200</v>
      </c>
      <c r="V73" s="39"/>
      <c r="W73" s="39">
        <v>100</v>
      </c>
      <c r="X73" s="39">
        <v>50</v>
      </c>
      <c r="Y73" s="39">
        <v>100</v>
      </c>
      <c r="Z73" s="39"/>
      <c r="AA73" s="39"/>
      <c r="AB73" s="39">
        <f t="shared" si="6"/>
        <v>950</v>
      </c>
    </row>
    <row r="74" spans="2:28" ht="15.75" customHeight="1" outlineLevel="1" x14ac:dyDescent="0.3">
      <c r="B74" s="38" t="s">
        <v>135</v>
      </c>
      <c r="C74" s="39">
        <v>0</v>
      </c>
      <c r="D74" s="39">
        <v>0</v>
      </c>
      <c r="E74" s="39">
        <v>0</v>
      </c>
      <c r="F74" s="39"/>
      <c r="G74" s="39"/>
      <c r="H74" s="39"/>
      <c r="I74" s="39"/>
      <c r="J74" s="39"/>
      <c r="K74" s="39"/>
      <c r="L74" s="39"/>
      <c r="M74" s="39">
        <v>0</v>
      </c>
      <c r="N74" s="39"/>
      <c r="O74" s="39">
        <v>0</v>
      </c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>
        <f t="shared" si="6"/>
        <v>0</v>
      </c>
    </row>
    <row r="75" spans="2:28" ht="15.75" customHeight="1" x14ac:dyDescent="0.3">
      <c r="B75" s="40" t="s">
        <v>18</v>
      </c>
      <c r="C75" s="41">
        <v>58658.11</v>
      </c>
      <c r="D75" s="41">
        <v>82383.06</v>
      </c>
      <c r="E75" s="41">
        <v>73397.59</v>
      </c>
      <c r="F75" s="41">
        <v>20652.16</v>
      </c>
      <c r="G75" s="41">
        <v>33455.33</v>
      </c>
      <c r="H75" s="41">
        <v>78494.899999999994</v>
      </c>
      <c r="I75" s="41">
        <v>47308.44</v>
      </c>
      <c r="J75" s="41">
        <v>83595.75</v>
      </c>
      <c r="K75" s="41">
        <v>86382.15</v>
      </c>
      <c r="L75" s="41">
        <v>1500</v>
      </c>
      <c r="M75" s="41">
        <v>10446.82</v>
      </c>
      <c r="N75" s="41">
        <v>80908.75</v>
      </c>
      <c r="O75" s="41">
        <v>657183.05999999994</v>
      </c>
      <c r="P75" s="41">
        <f t="shared" ref="P75:AA75" si="13">P30+P39+P50+P58+P61+P62+P63+P66+P67</f>
        <v>74200</v>
      </c>
      <c r="Q75" s="41">
        <f t="shared" si="13"/>
        <v>54150</v>
      </c>
      <c r="R75" s="41">
        <f t="shared" si="13"/>
        <v>127851</v>
      </c>
      <c r="S75" s="41">
        <f t="shared" si="13"/>
        <v>90620</v>
      </c>
      <c r="T75" s="41">
        <f t="shared" si="13"/>
        <v>74350</v>
      </c>
      <c r="U75" s="41">
        <f t="shared" si="13"/>
        <v>152751</v>
      </c>
      <c r="V75" s="41">
        <f t="shared" si="13"/>
        <v>3500</v>
      </c>
      <c r="W75" s="41">
        <f t="shared" si="13"/>
        <v>12500</v>
      </c>
      <c r="X75" s="41">
        <f t="shared" si="13"/>
        <v>107331</v>
      </c>
      <c r="Y75" s="41">
        <f t="shared" si="13"/>
        <v>59150</v>
      </c>
      <c r="Z75" s="41">
        <f t="shared" si="13"/>
        <v>87830</v>
      </c>
      <c r="AA75" s="41">
        <f t="shared" si="13"/>
        <v>91541</v>
      </c>
      <c r="AB75" s="41">
        <f t="shared" si="6"/>
        <v>935774</v>
      </c>
    </row>
    <row r="76" spans="2:28" ht="15.75" customHeight="1" x14ac:dyDescent="0.3"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</row>
    <row r="77" spans="2:28" ht="15.75" customHeight="1" x14ac:dyDescent="0.3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</row>
    <row r="78" spans="2:28" ht="15.75" customHeight="1" x14ac:dyDescent="0.3">
      <c r="B78" s="36" t="s">
        <v>19</v>
      </c>
      <c r="C78" s="37">
        <v>0</v>
      </c>
      <c r="D78" s="37">
        <v>0</v>
      </c>
      <c r="E78" s="37">
        <v>-952.9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-952.9</v>
      </c>
      <c r="P78" s="37">
        <f t="shared" ref="P78:AA78" si="14">P79</f>
        <v>0</v>
      </c>
      <c r="Q78" s="37">
        <f t="shared" si="14"/>
        <v>0</v>
      </c>
      <c r="R78" s="37">
        <f t="shared" si="14"/>
        <v>0</v>
      </c>
      <c r="S78" s="37">
        <f t="shared" si="14"/>
        <v>0</v>
      </c>
      <c r="T78" s="37">
        <f t="shared" si="14"/>
        <v>0</v>
      </c>
      <c r="U78" s="37">
        <f t="shared" si="14"/>
        <v>0</v>
      </c>
      <c r="V78" s="37">
        <f t="shared" si="14"/>
        <v>0</v>
      </c>
      <c r="W78" s="37">
        <f t="shared" si="14"/>
        <v>0</v>
      </c>
      <c r="X78" s="37">
        <f t="shared" si="14"/>
        <v>0</v>
      </c>
      <c r="Y78" s="37">
        <f t="shared" si="14"/>
        <v>0</v>
      </c>
      <c r="Z78" s="37">
        <f t="shared" si="14"/>
        <v>0</v>
      </c>
      <c r="AA78" s="37">
        <f t="shared" si="14"/>
        <v>1000</v>
      </c>
      <c r="AB78" s="37">
        <f t="shared" ref="AB78:AB80" si="15">SUM(P78:AA78)</f>
        <v>1000</v>
      </c>
    </row>
    <row r="79" spans="2:28" ht="15.75" hidden="1" customHeight="1" outlineLevel="1" x14ac:dyDescent="0.3">
      <c r="B79" s="38" t="s">
        <v>137</v>
      </c>
      <c r="C79" s="39">
        <v>0</v>
      </c>
      <c r="D79" s="39">
        <v>0</v>
      </c>
      <c r="E79" s="39">
        <v>-952.9</v>
      </c>
      <c r="F79" s="39"/>
      <c r="G79" s="39"/>
      <c r="H79" s="39"/>
      <c r="I79" s="39"/>
      <c r="J79" s="39"/>
      <c r="K79" s="39"/>
      <c r="L79" s="39"/>
      <c r="M79" s="39"/>
      <c r="N79" s="39"/>
      <c r="O79" s="39">
        <v>-952.9</v>
      </c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>
        <v>1000</v>
      </c>
      <c r="AB79" s="39">
        <f t="shared" si="15"/>
        <v>1000</v>
      </c>
    </row>
    <row r="80" spans="2:28" ht="15.75" customHeight="1" collapsed="1" thickBot="1" x14ac:dyDescent="0.35">
      <c r="B80" s="44" t="s">
        <v>20</v>
      </c>
      <c r="C80" s="45">
        <v>45680.11</v>
      </c>
      <c r="D80" s="45">
        <v>-218345.94</v>
      </c>
      <c r="E80" s="45">
        <v>-100231.70999999999</v>
      </c>
      <c r="F80" s="45">
        <v>-94589.84</v>
      </c>
      <c r="G80" s="45">
        <v>-1095.4700000000012</v>
      </c>
      <c r="H80" s="45">
        <v>63975.099999999991</v>
      </c>
      <c r="I80" s="45">
        <v>15023.140000000003</v>
      </c>
      <c r="J80" s="45">
        <v>34729.75</v>
      </c>
      <c r="K80" s="45">
        <v>22671.149999999994</v>
      </c>
      <c r="L80" s="45">
        <v>-33818</v>
      </c>
      <c r="M80" s="45">
        <v>-195054.78</v>
      </c>
      <c r="N80" s="45">
        <v>-26626.649999999994</v>
      </c>
      <c r="O80" s="45">
        <v>-487683.14</v>
      </c>
      <c r="P80" s="45">
        <f t="shared" ref="P80:AA80" si="16">P26+P75+P78</f>
        <v>-35800</v>
      </c>
      <c r="Q80" s="45">
        <f t="shared" si="16"/>
        <v>25150</v>
      </c>
      <c r="R80" s="45">
        <f t="shared" si="16"/>
        <v>114851</v>
      </c>
      <c r="S80" s="45">
        <f t="shared" si="16"/>
        <v>63620</v>
      </c>
      <c r="T80" s="45">
        <f t="shared" si="16"/>
        <v>30350</v>
      </c>
      <c r="U80" s="45">
        <f t="shared" si="16"/>
        <v>89251</v>
      </c>
      <c r="V80" s="45">
        <f t="shared" si="16"/>
        <v>-30500</v>
      </c>
      <c r="W80" s="45">
        <f t="shared" si="16"/>
        <v>-173500</v>
      </c>
      <c r="X80" s="45">
        <f t="shared" si="16"/>
        <v>18331</v>
      </c>
      <c r="Y80" s="45">
        <f t="shared" si="16"/>
        <v>-73111</v>
      </c>
      <c r="Z80" s="45">
        <f t="shared" si="16"/>
        <v>30830</v>
      </c>
      <c r="AA80" s="45">
        <f t="shared" si="16"/>
        <v>-77964</v>
      </c>
      <c r="AB80" s="45">
        <f t="shared" si="15"/>
        <v>-18492</v>
      </c>
    </row>
    <row r="81" customFormat="1" ht="15.75" customHeight="1" thickTop="1" x14ac:dyDescent="0.3"/>
    <row r="82" customFormat="1" ht="15.75" customHeight="1" x14ac:dyDescent="0.3"/>
    <row r="83" customFormat="1" ht="15.75" customHeight="1" x14ac:dyDescent="0.3"/>
    <row r="84" customFormat="1" ht="15.75" customHeight="1" x14ac:dyDescent="0.3"/>
    <row r="85" customFormat="1" ht="15.75" customHeight="1" x14ac:dyDescent="0.3"/>
    <row r="86" customFormat="1" ht="15.75" customHeight="1" x14ac:dyDescent="0.3"/>
    <row r="87" customFormat="1" ht="15.75" customHeight="1" x14ac:dyDescent="0.3"/>
    <row r="88" customFormat="1" ht="15.75" customHeight="1" x14ac:dyDescent="0.3"/>
    <row r="89" customFormat="1" ht="15.75" customHeight="1" x14ac:dyDescent="0.3"/>
    <row r="90" customFormat="1" ht="15.75" customHeight="1" x14ac:dyDescent="0.3"/>
    <row r="91" customFormat="1" ht="15.75" customHeight="1" x14ac:dyDescent="0.3"/>
    <row r="92" customFormat="1" ht="15.75" customHeight="1" x14ac:dyDescent="0.3"/>
    <row r="93" customFormat="1" ht="15.75" customHeight="1" x14ac:dyDescent="0.3"/>
    <row r="94" customFormat="1" ht="15.75" customHeight="1" x14ac:dyDescent="0.3"/>
    <row r="95" customFormat="1" ht="15.75" customHeight="1" x14ac:dyDescent="0.3"/>
    <row r="96" customFormat="1" ht="15.75" customHeight="1" x14ac:dyDescent="0.3"/>
    <row r="97" customFormat="1" ht="15.75" customHeight="1" x14ac:dyDescent="0.3"/>
    <row r="98" customFormat="1" ht="15.75" customHeight="1" x14ac:dyDescent="0.3"/>
    <row r="99" customFormat="1" ht="15.75" customHeight="1" x14ac:dyDescent="0.3"/>
    <row r="100" customFormat="1" ht="15.75" customHeight="1" x14ac:dyDescent="0.3"/>
    <row r="101" customFormat="1" ht="15.75" customHeight="1" x14ac:dyDescent="0.3"/>
    <row r="102" customFormat="1" ht="15.75" customHeight="1" x14ac:dyDescent="0.3"/>
    <row r="103" customFormat="1" ht="15.75" customHeight="1" x14ac:dyDescent="0.3"/>
    <row r="104" customFormat="1" ht="15.75" customHeight="1" x14ac:dyDescent="0.3"/>
    <row r="105" customFormat="1" ht="15.75" customHeight="1" x14ac:dyDescent="0.3"/>
    <row r="106" customFormat="1" ht="15.75" customHeight="1" x14ac:dyDescent="0.3"/>
    <row r="107" customFormat="1" ht="15.75" customHeight="1" x14ac:dyDescent="0.3"/>
    <row r="108" customFormat="1" ht="15.75" customHeight="1" x14ac:dyDescent="0.3"/>
    <row r="109" customFormat="1" ht="15.75" customHeight="1" x14ac:dyDescent="0.3"/>
    <row r="110" customFormat="1" ht="15.75" customHeight="1" x14ac:dyDescent="0.3"/>
    <row r="111" customFormat="1" ht="15.75" customHeight="1" x14ac:dyDescent="0.3"/>
    <row r="112" customFormat="1" ht="15.75" customHeight="1" x14ac:dyDescent="0.3"/>
    <row r="113" customFormat="1" ht="15.75" customHeight="1" x14ac:dyDescent="0.3"/>
    <row r="114" customFormat="1" ht="15.75" customHeight="1" x14ac:dyDescent="0.3"/>
    <row r="115" customFormat="1" ht="15.75" customHeight="1" x14ac:dyDescent="0.3"/>
    <row r="116" customFormat="1" ht="15.75" customHeight="1" x14ac:dyDescent="0.3"/>
    <row r="117" customFormat="1" ht="15.75" customHeight="1" x14ac:dyDescent="0.3"/>
    <row r="118" customFormat="1" ht="15.75" customHeight="1" x14ac:dyDescent="0.3"/>
    <row r="119" customFormat="1" ht="15.75" customHeight="1" x14ac:dyDescent="0.3"/>
    <row r="120" customFormat="1" ht="15.75" customHeight="1" x14ac:dyDescent="0.3"/>
    <row r="121" customFormat="1" ht="15.75" customHeight="1" x14ac:dyDescent="0.3"/>
    <row r="122" customFormat="1" ht="15.75" customHeight="1" x14ac:dyDescent="0.3"/>
    <row r="123" customFormat="1" ht="15.75" customHeight="1" x14ac:dyDescent="0.3"/>
    <row r="124" customFormat="1" ht="15.75" customHeight="1" x14ac:dyDescent="0.3"/>
    <row r="125" customFormat="1" ht="15.75" customHeight="1" x14ac:dyDescent="0.3"/>
    <row r="126" customFormat="1" ht="15.75" customHeight="1" x14ac:dyDescent="0.3"/>
    <row r="127" customFormat="1" ht="15.75" customHeight="1" x14ac:dyDescent="0.3"/>
    <row r="128" customFormat="1" ht="15.75" customHeight="1" x14ac:dyDescent="0.3"/>
    <row r="129" customFormat="1" ht="15.75" customHeight="1" x14ac:dyDescent="0.3"/>
    <row r="130" customFormat="1" ht="15.75" customHeight="1" x14ac:dyDescent="0.3"/>
    <row r="131" customFormat="1" ht="15.75" customHeight="1" x14ac:dyDescent="0.3"/>
    <row r="132" customFormat="1" ht="15.75" customHeight="1" x14ac:dyDescent="0.3"/>
    <row r="133" customFormat="1" ht="15.75" customHeight="1" x14ac:dyDescent="0.3"/>
    <row r="134" customFormat="1" ht="15.75" customHeight="1" x14ac:dyDescent="0.3"/>
    <row r="135" customFormat="1" ht="15.75" customHeight="1" x14ac:dyDescent="0.3"/>
    <row r="136" customFormat="1" ht="15.75" customHeight="1" x14ac:dyDescent="0.3"/>
    <row r="137" customFormat="1" ht="15.75" customHeight="1" x14ac:dyDescent="0.3"/>
    <row r="138" customFormat="1" ht="15.75" customHeight="1" x14ac:dyDescent="0.3"/>
    <row r="139" customFormat="1" ht="15.75" customHeight="1" x14ac:dyDescent="0.3"/>
    <row r="140" customFormat="1" ht="15.75" customHeight="1" x14ac:dyDescent="0.3"/>
    <row r="141" customFormat="1" ht="15.75" customHeight="1" x14ac:dyDescent="0.3"/>
    <row r="142" customFormat="1" ht="15.75" customHeight="1" x14ac:dyDescent="0.3"/>
    <row r="143" customFormat="1" ht="15.75" customHeight="1" x14ac:dyDescent="0.3"/>
    <row r="144" customFormat="1" ht="15.75" customHeight="1" x14ac:dyDescent="0.3"/>
    <row r="145" customFormat="1" ht="15.75" customHeight="1" x14ac:dyDescent="0.3"/>
    <row r="146" customFormat="1" ht="15.75" customHeight="1" x14ac:dyDescent="0.3"/>
    <row r="147" customFormat="1" ht="15.75" customHeight="1" x14ac:dyDescent="0.3"/>
    <row r="148" customFormat="1" ht="15.75" customHeight="1" x14ac:dyDescent="0.3"/>
    <row r="149" customFormat="1" ht="15.75" customHeight="1" x14ac:dyDescent="0.3"/>
    <row r="150" customFormat="1" ht="15.75" customHeight="1" x14ac:dyDescent="0.3"/>
    <row r="151" customFormat="1" ht="15.75" customHeight="1" x14ac:dyDescent="0.3"/>
    <row r="152" customFormat="1" ht="15.75" customHeight="1" x14ac:dyDescent="0.3"/>
    <row r="153" customFormat="1" ht="15.75" customHeight="1" x14ac:dyDescent="0.3"/>
    <row r="154" customFormat="1" ht="15.75" customHeight="1" x14ac:dyDescent="0.3"/>
    <row r="155" customFormat="1" ht="15.75" customHeight="1" x14ac:dyDescent="0.3"/>
    <row r="156" customFormat="1" ht="15.75" customHeight="1" x14ac:dyDescent="0.3"/>
    <row r="157" customFormat="1" ht="15.75" customHeight="1" x14ac:dyDescent="0.3"/>
    <row r="158" customFormat="1" ht="15.75" customHeight="1" x14ac:dyDescent="0.3"/>
    <row r="159" customFormat="1" ht="15.75" customHeight="1" x14ac:dyDescent="0.3"/>
    <row r="160" customFormat="1" ht="15.75" customHeight="1" x14ac:dyDescent="0.3"/>
    <row r="161" customFormat="1" ht="15.75" customHeight="1" x14ac:dyDescent="0.3"/>
    <row r="162" customFormat="1" ht="15.75" customHeight="1" x14ac:dyDescent="0.3"/>
    <row r="163" customFormat="1" ht="15.75" customHeight="1" x14ac:dyDescent="0.3"/>
    <row r="164" customFormat="1" ht="15.75" customHeight="1" x14ac:dyDescent="0.3"/>
    <row r="165" customFormat="1" ht="15.75" customHeight="1" x14ac:dyDescent="0.3"/>
    <row r="166" customFormat="1" ht="15.75" customHeight="1" x14ac:dyDescent="0.3"/>
    <row r="167" customFormat="1" ht="15.75" customHeight="1" x14ac:dyDescent="0.3"/>
    <row r="168" customFormat="1" ht="15.75" customHeight="1" x14ac:dyDescent="0.3"/>
    <row r="169" customFormat="1" ht="15.75" customHeight="1" x14ac:dyDescent="0.3"/>
    <row r="170" customFormat="1" ht="15.75" customHeight="1" x14ac:dyDescent="0.3"/>
    <row r="171" customFormat="1" ht="15.75" customHeight="1" x14ac:dyDescent="0.3"/>
    <row r="172" customFormat="1" ht="15.75" customHeight="1" x14ac:dyDescent="0.3"/>
    <row r="173" customFormat="1" ht="15.75" customHeight="1" x14ac:dyDescent="0.3"/>
    <row r="174" customFormat="1" ht="15.75" customHeight="1" x14ac:dyDescent="0.3"/>
    <row r="175" customFormat="1" ht="15.75" customHeight="1" x14ac:dyDescent="0.3"/>
    <row r="176" customFormat="1" ht="15.75" customHeight="1" x14ac:dyDescent="0.3"/>
    <row r="177" customFormat="1" ht="15.75" customHeight="1" x14ac:dyDescent="0.3"/>
    <row r="178" customFormat="1" ht="15.75" customHeight="1" x14ac:dyDescent="0.3"/>
    <row r="179" customFormat="1" ht="15.75" customHeight="1" x14ac:dyDescent="0.3"/>
    <row r="180" customFormat="1" ht="15.75" customHeight="1" x14ac:dyDescent="0.3"/>
    <row r="181" customFormat="1" ht="15.75" customHeight="1" x14ac:dyDescent="0.3"/>
    <row r="182" customFormat="1" ht="15.75" customHeight="1" x14ac:dyDescent="0.3"/>
    <row r="183" customFormat="1" ht="15.75" customHeight="1" x14ac:dyDescent="0.3"/>
    <row r="184" customFormat="1" ht="15.75" customHeight="1" x14ac:dyDescent="0.3"/>
    <row r="185" customFormat="1" ht="15.75" customHeight="1" x14ac:dyDescent="0.3"/>
    <row r="186" customFormat="1" ht="15.75" customHeight="1" x14ac:dyDescent="0.3"/>
    <row r="187" customFormat="1" ht="15.75" customHeight="1" x14ac:dyDescent="0.3"/>
    <row r="188" customFormat="1" ht="15.75" customHeight="1" x14ac:dyDescent="0.3"/>
    <row r="189" customFormat="1" ht="15.75" customHeight="1" x14ac:dyDescent="0.3"/>
    <row r="190" customFormat="1" ht="15.75" customHeight="1" x14ac:dyDescent="0.3"/>
    <row r="191" customFormat="1" ht="15.75" customHeight="1" x14ac:dyDescent="0.3"/>
    <row r="192" customFormat="1" ht="15.75" customHeight="1" x14ac:dyDescent="0.3"/>
    <row r="193" customFormat="1" ht="15.75" customHeight="1" x14ac:dyDescent="0.3"/>
    <row r="194" customFormat="1" ht="15.75" customHeight="1" x14ac:dyDescent="0.3"/>
    <row r="195" customFormat="1" ht="15.75" customHeight="1" x14ac:dyDescent="0.3"/>
    <row r="196" customFormat="1" ht="15.75" customHeight="1" x14ac:dyDescent="0.3"/>
    <row r="197" customFormat="1" ht="15.75" customHeight="1" x14ac:dyDescent="0.3"/>
    <row r="198" customFormat="1" ht="15.75" customHeight="1" x14ac:dyDescent="0.3"/>
    <row r="199" customFormat="1" ht="15.75" customHeight="1" x14ac:dyDescent="0.3"/>
    <row r="200" customFormat="1" ht="15.75" customHeight="1" x14ac:dyDescent="0.3"/>
    <row r="201" customFormat="1" ht="15.75" customHeight="1" x14ac:dyDescent="0.3"/>
    <row r="202" customFormat="1" ht="15.75" customHeight="1" x14ac:dyDescent="0.3"/>
    <row r="203" customFormat="1" ht="15.75" customHeight="1" x14ac:dyDescent="0.3"/>
    <row r="204" customFormat="1" ht="15.75" customHeight="1" x14ac:dyDescent="0.3"/>
    <row r="205" customFormat="1" ht="15.75" customHeight="1" x14ac:dyDescent="0.3"/>
    <row r="206" customFormat="1" ht="15.75" customHeight="1" x14ac:dyDescent="0.3"/>
    <row r="207" customFormat="1" ht="15.75" customHeight="1" x14ac:dyDescent="0.3"/>
    <row r="208" customFormat="1" ht="15.75" customHeight="1" x14ac:dyDescent="0.3"/>
    <row r="209" customFormat="1" ht="15.75" customHeight="1" x14ac:dyDescent="0.3"/>
    <row r="210" customFormat="1" ht="15.75" customHeight="1" x14ac:dyDescent="0.3"/>
    <row r="211" customFormat="1" ht="15.75" customHeight="1" x14ac:dyDescent="0.3"/>
    <row r="212" customFormat="1" ht="15.75" customHeight="1" x14ac:dyDescent="0.3"/>
    <row r="213" customFormat="1" ht="15.75" customHeight="1" x14ac:dyDescent="0.3"/>
    <row r="214" customFormat="1" ht="15.75" customHeight="1" x14ac:dyDescent="0.3"/>
    <row r="215" customFormat="1" ht="15.75" customHeight="1" x14ac:dyDescent="0.3"/>
    <row r="216" customFormat="1" ht="15.75" customHeight="1" x14ac:dyDescent="0.3"/>
    <row r="217" customFormat="1" ht="15.75" customHeight="1" x14ac:dyDescent="0.3"/>
    <row r="218" customFormat="1" ht="15.75" customHeight="1" x14ac:dyDescent="0.3"/>
    <row r="219" customFormat="1" ht="15.75" customHeight="1" x14ac:dyDescent="0.3"/>
    <row r="220" customFormat="1" ht="15.75" customHeight="1" x14ac:dyDescent="0.3"/>
    <row r="221" customFormat="1" ht="15.75" customHeight="1" x14ac:dyDescent="0.3"/>
    <row r="222" customFormat="1" ht="15.75" customHeight="1" x14ac:dyDescent="0.3"/>
    <row r="223" customFormat="1" ht="15.75" customHeight="1" x14ac:dyDescent="0.3"/>
    <row r="224" customFormat="1" ht="15.75" customHeight="1" x14ac:dyDescent="0.3"/>
    <row r="225" customFormat="1" ht="15.75" customHeight="1" x14ac:dyDescent="0.3"/>
    <row r="226" customFormat="1" ht="15.75" customHeight="1" x14ac:dyDescent="0.3"/>
    <row r="227" customFormat="1" ht="15.75" customHeight="1" x14ac:dyDescent="0.3"/>
    <row r="228" customFormat="1" ht="15.75" customHeight="1" x14ac:dyDescent="0.3"/>
    <row r="229" customFormat="1" ht="15.75" customHeight="1" x14ac:dyDescent="0.3"/>
    <row r="230" customFormat="1" ht="15.75" customHeight="1" x14ac:dyDescent="0.3"/>
    <row r="231" customFormat="1" ht="15.75" customHeight="1" x14ac:dyDescent="0.3"/>
    <row r="232" customFormat="1" ht="15.75" customHeight="1" x14ac:dyDescent="0.3"/>
    <row r="233" customFormat="1" ht="15.75" customHeight="1" x14ac:dyDescent="0.3"/>
    <row r="234" customFormat="1" ht="15.75" customHeight="1" x14ac:dyDescent="0.3"/>
    <row r="235" customFormat="1" ht="15.75" customHeight="1" x14ac:dyDescent="0.3"/>
    <row r="236" customFormat="1" ht="15.75" customHeight="1" x14ac:dyDescent="0.3"/>
    <row r="237" customFormat="1" ht="15.75" customHeight="1" x14ac:dyDescent="0.3"/>
    <row r="238" customFormat="1" ht="15.75" customHeight="1" x14ac:dyDescent="0.3"/>
    <row r="239" customFormat="1" ht="15.75" customHeight="1" x14ac:dyDescent="0.3"/>
    <row r="240" customFormat="1" ht="15.75" customHeight="1" x14ac:dyDescent="0.3"/>
    <row r="241" customFormat="1" ht="15.75" customHeight="1" x14ac:dyDescent="0.3"/>
    <row r="242" customFormat="1" ht="15.75" customHeight="1" x14ac:dyDescent="0.3"/>
    <row r="243" customFormat="1" ht="15.75" customHeight="1" x14ac:dyDescent="0.3"/>
    <row r="244" customFormat="1" ht="15.75" customHeight="1" x14ac:dyDescent="0.3"/>
    <row r="245" customFormat="1" ht="15.75" customHeight="1" x14ac:dyDescent="0.3"/>
    <row r="246" customFormat="1" ht="15.75" customHeight="1" x14ac:dyDescent="0.3"/>
    <row r="247" customFormat="1" ht="15.75" customHeight="1" x14ac:dyDescent="0.3"/>
    <row r="248" customFormat="1" ht="15.75" customHeight="1" x14ac:dyDescent="0.3"/>
    <row r="249" customFormat="1" ht="15.75" customHeight="1" x14ac:dyDescent="0.3"/>
    <row r="250" customFormat="1" ht="15.75" customHeight="1" x14ac:dyDescent="0.3"/>
    <row r="251" customFormat="1" ht="15.75" customHeight="1" x14ac:dyDescent="0.3"/>
    <row r="252" customFormat="1" ht="15.75" customHeight="1" x14ac:dyDescent="0.3"/>
    <row r="253" customFormat="1" ht="15.75" customHeight="1" x14ac:dyDescent="0.3"/>
    <row r="254" customFormat="1" ht="15.75" customHeight="1" x14ac:dyDescent="0.3"/>
    <row r="255" customFormat="1" ht="15.75" customHeight="1" x14ac:dyDescent="0.3"/>
    <row r="256" customFormat="1" ht="15.75" customHeight="1" x14ac:dyDescent="0.3"/>
    <row r="257" customFormat="1" ht="15.75" customHeight="1" x14ac:dyDescent="0.3"/>
    <row r="258" customFormat="1" ht="15.75" customHeight="1" x14ac:dyDescent="0.3"/>
    <row r="259" customFormat="1" ht="15.75" customHeight="1" x14ac:dyDescent="0.3"/>
    <row r="260" customFormat="1" ht="15.75" customHeight="1" x14ac:dyDescent="0.3"/>
    <row r="261" customFormat="1" ht="15.75" customHeight="1" x14ac:dyDescent="0.3"/>
    <row r="262" customFormat="1" ht="15.75" customHeight="1" x14ac:dyDescent="0.3"/>
    <row r="263" customFormat="1" ht="15.75" customHeight="1" x14ac:dyDescent="0.3"/>
    <row r="264" customFormat="1" ht="15.75" customHeight="1" x14ac:dyDescent="0.3"/>
    <row r="265" customFormat="1" ht="15.75" customHeight="1" x14ac:dyDescent="0.3"/>
    <row r="266" customFormat="1" ht="15.75" customHeight="1" x14ac:dyDescent="0.3"/>
    <row r="267" customFormat="1" ht="15.75" customHeight="1" x14ac:dyDescent="0.3"/>
    <row r="268" customFormat="1" ht="15.75" customHeight="1" x14ac:dyDescent="0.3"/>
    <row r="269" customFormat="1" ht="15.75" customHeight="1" x14ac:dyDescent="0.3"/>
    <row r="270" customFormat="1" ht="15.75" customHeight="1" x14ac:dyDescent="0.3"/>
    <row r="271" customFormat="1" ht="15.75" customHeight="1" x14ac:dyDescent="0.3"/>
    <row r="272" customFormat="1" ht="15.75" customHeight="1" x14ac:dyDescent="0.3"/>
    <row r="273" customFormat="1" ht="15.75" customHeight="1" x14ac:dyDescent="0.3"/>
    <row r="274" customFormat="1" ht="15.75" customHeight="1" x14ac:dyDescent="0.3"/>
    <row r="275" customFormat="1" ht="15.75" customHeight="1" x14ac:dyDescent="0.3"/>
    <row r="276" customFormat="1" ht="15.75" customHeight="1" x14ac:dyDescent="0.3"/>
    <row r="277" customFormat="1" ht="15.75" customHeight="1" x14ac:dyDescent="0.3"/>
    <row r="278" customFormat="1" ht="15.75" customHeight="1" x14ac:dyDescent="0.3"/>
    <row r="279" customFormat="1" ht="15.75" customHeight="1" x14ac:dyDescent="0.3"/>
    <row r="280" customFormat="1" ht="15.75" customHeight="1" x14ac:dyDescent="0.3"/>
    <row r="281" customFormat="1" ht="15.75" customHeight="1" x14ac:dyDescent="0.3"/>
    <row r="282" customFormat="1" ht="15.75" customHeight="1" x14ac:dyDescent="0.3"/>
    <row r="283" customFormat="1" ht="15.75" customHeight="1" x14ac:dyDescent="0.3"/>
    <row r="284" customFormat="1" ht="15.75" customHeight="1" x14ac:dyDescent="0.3"/>
    <row r="285" customFormat="1" ht="15.75" customHeight="1" x14ac:dyDescent="0.3"/>
    <row r="286" customFormat="1" ht="15.75" customHeight="1" x14ac:dyDescent="0.3"/>
    <row r="287" customFormat="1" ht="15.75" customHeight="1" x14ac:dyDescent="0.3"/>
    <row r="288" customFormat="1" ht="15.75" customHeight="1" x14ac:dyDescent="0.3"/>
    <row r="289" customFormat="1" ht="15.75" customHeight="1" x14ac:dyDescent="0.3"/>
    <row r="290" customFormat="1" ht="15.75" customHeight="1" x14ac:dyDescent="0.3"/>
    <row r="291" customFormat="1" ht="15.75" customHeight="1" x14ac:dyDescent="0.3"/>
    <row r="292" customFormat="1" ht="15.75" customHeight="1" x14ac:dyDescent="0.3"/>
    <row r="293" customFormat="1" ht="15.75" customHeight="1" x14ac:dyDescent="0.3"/>
    <row r="294" customFormat="1" ht="15.75" customHeight="1" x14ac:dyDescent="0.3"/>
    <row r="295" customFormat="1" ht="15.75" customHeight="1" x14ac:dyDescent="0.3"/>
    <row r="296" customFormat="1" ht="15.75" customHeight="1" x14ac:dyDescent="0.3"/>
    <row r="297" customFormat="1" ht="15.75" customHeight="1" x14ac:dyDescent="0.3"/>
    <row r="298" customFormat="1" ht="15.75" customHeight="1" x14ac:dyDescent="0.3"/>
    <row r="299" customFormat="1" ht="15.75" customHeight="1" x14ac:dyDescent="0.3"/>
    <row r="300" customFormat="1" ht="15.75" customHeight="1" x14ac:dyDescent="0.3"/>
    <row r="301" customFormat="1" ht="15.75" customHeight="1" x14ac:dyDescent="0.3"/>
    <row r="302" customFormat="1" ht="15.75" customHeight="1" x14ac:dyDescent="0.3"/>
    <row r="303" customFormat="1" ht="15.75" customHeight="1" x14ac:dyDescent="0.3"/>
    <row r="304" customFormat="1" ht="15.75" customHeight="1" x14ac:dyDescent="0.3"/>
    <row r="305" customFormat="1" ht="15.75" customHeight="1" x14ac:dyDescent="0.3"/>
    <row r="306" customFormat="1" ht="15.75" customHeight="1" x14ac:dyDescent="0.3"/>
    <row r="307" customFormat="1" ht="15.75" customHeight="1" x14ac:dyDescent="0.3"/>
    <row r="308" customFormat="1" ht="15.75" customHeight="1" x14ac:dyDescent="0.3"/>
    <row r="309" customFormat="1" ht="15.75" customHeight="1" x14ac:dyDescent="0.3"/>
    <row r="310" customFormat="1" ht="15.75" customHeight="1" x14ac:dyDescent="0.3"/>
    <row r="311" customFormat="1" ht="15.75" customHeight="1" x14ac:dyDescent="0.3"/>
    <row r="312" customFormat="1" ht="15.75" customHeight="1" x14ac:dyDescent="0.3"/>
    <row r="313" customFormat="1" ht="15.75" customHeight="1" x14ac:dyDescent="0.3"/>
    <row r="314" customFormat="1" ht="15.75" customHeight="1" x14ac:dyDescent="0.3"/>
    <row r="315" customFormat="1" ht="15.75" customHeight="1" x14ac:dyDescent="0.3"/>
    <row r="316" customFormat="1" ht="15.75" customHeight="1" x14ac:dyDescent="0.3"/>
    <row r="317" customFormat="1" ht="15.75" customHeight="1" x14ac:dyDescent="0.3"/>
    <row r="318" customFormat="1" ht="15.75" customHeight="1" x14ac:dyDescent="0.3"/>
    <row r="319" customFormat="1" ht="15.75" customHeight="1" x14ac:dyDescent="0.3"/>
    <row r="320" customFormat="1" ht="15.75" customHeight="1" x14ac:dyDescent="0.3"/>
    <row r="321" customFormat="1" ht="15.75" customHeight="1" x14ac:dyDescent="0.3"/>
    <row r="322" customFormat="1" ht="15.75" customHeight="1" x14ac:dyDescent="0.3"/>
    <row r="323" customFormat="1" ht="15.75" customHeight="1" x14ac:dyDescent="0.3"/>
    <row r="324" customFormat="1" ht="15.75" customHeight="1" x14ac:dyDescent="0.3"/>
    <row r="325" customFormat="1" ht="15.75" customHeight="1" x14ac:dyDescent="0.3"/>
    <row r="326" customFormat="1" ht="15.75" customHeight="1" x14ac:dyDescent="0.3"/>
    <row r="327" customFormat="1" ht="15.75" customHeight="1" x14ac:dyDescent="0.3"/>
    <row r="328" customFormat="1" ht="15.75" customHeight="1" x14ac:dyDescent="0.3"/>
    <row r="329" customFormat="1" ht="15.75" customHeight="1" x14ac:dyDescent="0.3"/>
    <row r="330" customFormat="1" ht="15.75" customHeight="1" x14ac:dyDescent="0.3"/>
    <row r="331" customFormat="1" ht="15.75" customHeight="1" x14ac:dyDescent="0.3"/>
    <row r="332" customFormat="1" ht="15.75" customHeight="1" x14ac:dyDescent="0.3"/>
    <row r="333" customFormat="1" ht="15.75" customHeight="1" x14ac:dyDescent="0.3"/>
    <row r="334" customFormat="1" ht="15.75" customHeight="1" x14ac:dyDescent="0.3"/>
    <row r="335" customFormat="1" ht="15.75" customHeight="1" x14ac:dyDescent="0.3"/>
    <row r="336" customFormat="1" ht="15.75" customHeight="1" x14ac:dyDescent="0.3"/>
    <row r="337" customFormat="1" ht="15.75" customHeight="1" x14ac:dyDescent="0.3"/>
    <row r="338" customFormat="1" ht="15.75" customHeight="1" x14ac:dyDescent="0.3"/>
    <row r="339" customFormat="1" ht="15.75" customHeight="1" x14ac:dyDescent="0.3"/>
    <row r="340" customFormat="1" ht="15.75" customHeight="1" x14ac:dyDescent="0.3"/>
    <row r="341" customFormat="1" ht="15.75" customHeight="1" x14ac:dyDescent="0.3"/>
    <row r="342" customFormat="1" ht="15.75" customHeight="1" x14ac:dyDescent="0.3"/>
    <row r="343" customFormat="1" ht="15.75" customHeight="1" x14ac:dyDescent="0.3"/>
    <row r="344" customFormat="1" ht="15.75" customHeight="1" x14ac:dyDescent="0.3"/>
    <row r="345" customFormat="1" ht="15.75" customHeight="1" x14ac:dyDescent="0.3"/>
    <row r="346" customFormat="1" ht="15.75" customHeight="1" x14ac:dyDescent="0.3"/>
    <row r="347" customFormat="1" ht="15.75" customHeight="1" x14ac:dyDescent="0.3"/>
    <row r="348" customFormat="1" ht="15.75" customHeight="1" x14ac:dyDescent="0.3"/>
    <row r="349" customFormat="1" ht="15.75" customHeight="1" x14ac:dyDescent="0.3"/>
    <row r="350" customFormat="1" ht="15.75" customHeight="1" x14ac:dyDescent="0.3"/>
    <row r="351" customFormat="1" ht="15.75" customHeight="1" x14ac:dyDescent="0.3"/>
    <row r="352" customFormat="1" ht="15.75" customHeight="1" x14ac:dyDescent="0.3"/>
    <row r="353" customFormat="1" ht="15.75" customHeight="1" x14ac:dyDescent="0.3"/>
    <row r="354" customFormat="1" ht="15.75" customHeight="1" x14ac:dyDescent="0.3"/>
    <row r="355" customFormat="1" ht="15.75" customHeight="1" x14ac:dyDescent="0.3"/>
    <row r="356" customFormat="1" ht="15.75" customHeight="1" x14ac:dyDescent="0.3"/>
    <row r="357" customFormat="1" ht="15.75" customHeight="1" x14ac:dyDescent="0.3"/>
    <row r="358" customFormat="1" ht="15.75" customHeight="1" x14ac:dyDescent="0.3"/>
    <row r="359" customFormat="1" ht="15.75" customHeight="1" x14ac:dyDescent="0.3"/>
    <row r="360" customFormat="1" ht="15.75" customHeight="1" x14ac:dyDescent="0.3"/>
    <row r="361" customFormat="1" ht="15.75" customHeight="1" x14ac:dyDescent="0.3"/>
    <row r="362" customFormat="1" ht="15.75" customHeight="1" x14ac:dyDescent="0.3"/>
    <row r="363" customFormat="1" ht="15.75" customHeight="1" x14ac:dyDescent="0.3"/>
    <row r="364" customFormat="1" ht="15.75" customHeight="1" x14ac:dyDescent="0.3"/>
    <row r="365" customFormat="1" ht="15.75" customHeight="1" x14ac:dyDescent="0.3"/>
    <row r="366" customFormat="1" ht="15.75" customHeight="1" x14ac:dyDescent="0.3"/>
    <row r="367" customFormat="1" ht="15.75" customHeight="1" x14ac:dyDescent="0.3"/>
    <row r="368" customFormat="1" ht="15.75" customHeight="1" x14ac:dyDescent="0.3"/>
    <row r="369" customFormat="1" ht="15.75" customHeight="1" x14ac:dyDescent="0.3"/>
    <row r="370" customFormat="1" ht="15.75" customHeight="1" x14ac:dyDescent="0.3"/>
    <row r="371" customFormat="1" ht="15.75" customHeight="1" x14ac:dyDescent="0.3"/>
    <row r="372" customFormat="1" ht="15.75" customHeight="1" x14ac:dyDescent="0.3"/>
    <row r="373" customFormat="1" ht="15.75" customHeight="1" x14ac:dyDescent="0.3"/>
    <row r="374" customFormat="1" ht="15.75" customHeight="1" x14ac:dyDescent="0.3"/>
    <row r="375" customFormat="1" ht="15.75" customHeight="1" x14ac:dyDescent="0.3"/>
    <row r="376" customFormat="1" ht="15.75" customHeight="1" x14ac:dyDescent="0.3"/>
    <row r="377" customFormat="1" ht="15.75" customHeight="1" x14ac:dyDescent="0.3"/>
    <row r="378" customFormat="1" ht="15.75" customHeight="1" x14ac:dyDescent="0.3"/>
    <row r="379" customFormat="1" ht="15.75" customHeight="1" x14ac:dyDescent="0.3"/>
    <row r="380" customFormat="1" ht="15.75" customHeight="1" x14ac:dyDescent="0.3"/>
    <row r="381" customFormat="1" ht="15.75" customHeight="1" x14ac:dyDescent="0.3"/>
    <row r="382" customFormat="1" ht="15.75" customHeight="1" x14ac:dyDescent="0.3"/>
    <row r="383" customFormat="1" ht="15.75" customHeight="1" x14ac:dyDescent="0.3"/>
    <row r="384" customFormat="1" ht="15.75" customHeight="1" x14ac:dyDescent="0.3"/>
    <row r="385" customFormat="1" ht="15.75" customHeight="1" x14ac:dyDescent="0.3"/>
    <row r="386" customFormat="1" ht="15.75" customHeight="1" x14ac:dyDescent="0.3"/>
    <row r="387" customFormat="1" ht="15.75" customHeight="1" x14ac:dyDescent="0.3"/>
    <row r="388" customFormat="1" ht="15.75" customHeight="1" x14ac:dyDescent="0.3"/>
    <row r="389" customFormat="1" ht="15.75" customHeight="1" x14ac:dyDescent="0.3"/>
    <row r="390" customFormat="1" ht="15.75" customHeight="1" x14ac:dyDescent="0.3"/>
    <row r="391" customFormat="1" ht="15.75" customHeight="1" x14ac:dyDescent="0.3"/>
    <row r="392" customFormat="1" ht="15.75" customHeight="1" x14ac:dyDescent="0.3"/>
    <row r="393" customFormat="1" ht="15.75" customHeight="1" x14ac:dyDescent="0.3"/>
    <row r="394" customFormat="1" ht="15.75" customHeight="1" x14ac:dyDescent="0.3"/>
    <row r="395" customFormat="1" ht="15.75" customHeight="1" x14ac:dyDescent="0.3"/>
    <row r="396" customFormat="1" ht="15.75" customHeight="1" x14ac:dyDescent="0.3"/>
    <row r="397" customFormat="1" ht="15.75" customHeight="1" x14ac:dyDescent="0.3"/>
    <row r="398" customFormat="1" ht="15.75" customHeight="1" x14ac:dyDescent="0.3"/>
    <row r="399" customFormat="1" ht="15.75" customHeight="1" x14ac:dyDescent="0.3"/>
    <row r="400" customFormat="1" ht="15.75" customHeight="1" x14ac:dyDescent="0.3"/>
    <row r="401" customFormat="1" ht="15.75" customHeight="1" x14ac:dyDescent="0.3"/>
    <row r="402" customFormat="1" ht="15.75" customHeight="1" x14ac:dyDescent="0.3"/>
    <row r="403" customFormat="1" ht="15.75" customHeight="1" x14ac:dyDescent="0.3"/>
    <row r="404" customFormat="1" ht="15.75" customHeight="1" x14ac:dyDescent="0.3"/>
    <row r="405" customFormat="1" ht="15.75" customHeight="1" x14ac:dyDescent="0.3"/>
    <row r="406" customFormat="1" ht="15.75" customHeight="1" x14ac:dyDescent="0.3"/>
    <row r="407" customFormat="1" ht="15.75" customHeight="1" x14ac:dyDescent="0.3"/>
    <row r="408" customFormat="1" ht="15.75" customHeight="1" x14ac:dyDescent="0.3"/>
    <row r="409" customFormat="1" ht="15.75" customHeight="1" x14ac:dyDescent="0.3"/>
    <row r="410" customFormat="1" ht="15.75" customHeight="1" x14ac:dyDescent="0.3"/>
    <row r="411" customFormat="1" ht="15.75" customHeight="1" x14ac:dyDescent="0.3"/>
    <row r="412" customFormat="1" ht="15.75" customHeight="1" x14ac:dyDescent="0.3"/>
    <row r="413" customFormat="1" ht="15.75" customHeight="1" x14ac:dyDescent="0.3"/>
    <row r="414" customFormat="1" ht="15.75" customHeight="1" x14ac:dyDescent="0.3"/>
    <row r="415" customFormat="1" ht="15.75" customHeight="1" x14ac:dyDescent="0.3"/>
    <row r="416" customFormat="1" ht="15.75" customHeight="1" x14ac:dyDescent="0.3"/>
    <row r="417" customFormat="1" ht="15.75" customHeight="1" x14ac:dyDescent="0.3"/>
    <row r="418" customFormat="1" ht="15.75" customHeight="1" x14ac:dyDescent="0.3"/>
    <row r="419" customFormat="1" ht="15.75" customHeight="1" x14ac:dyDescent="0.3"/>
    <row r="420" customFormat="1" ht="15.75" customHeight="1" x14ac:dyDescent="0.3"/>
    <row r="421" customFormat="1" ht="15.75" customHeight="1" x14ac:dyDescent="0.3"/>
    <row r="422" customFormat="1" ht="15.75" customHeight="1" x14ac:dyDescent="0.3"/>
    <row r="423" customFormat="1" ht="15.75" customHeight="1" x14ac:dyDescent="0.3"/>
    <row r="424" customFormat="1" ht="15.75" customHeight="1" x14ac:dyDescent="0.3"/>
    <row r="425" customFormat="1" ht="15.75" customHeight="1" x14ac:dyDescent="0.3"/>
    <row r="426" customFormat="1" ht="15.75" customHeight="1" x14ac:dyDescent="0.3"/>
    <row r="427" customFormat="1" ht="15.75" customHeight="1" x14ac:dyDescent="0.3"/>
    <row r="428" customFormat="1" ht="15.75" customHeight="1" x14ac:dyDescent="0.3"/>
    <row r="429" customFormat="1" ht="15.75" customHeight="1" x14ac:dyDescent="0.3"/>
    <row r="430" customFormat="1" ht="15.75" customHeight="1" x14ac:dyDescent="0.3"/>
    <row r="431" customFormat="1" ht="15.75" customHeight="1" x14ac:dyDescent="0.3"/>
    <row r="432" customFormat="1" ht="15.75" customHeight="1" x14ac:dyDescent="0.3"/>
    <row r="433" customFormat="1" ht="15.75" customHeight="1" x14ac:dyDescent="0.3"/>
    <row r="434" customFormat="1" ht="15.75" customHeight="1" x14ac:dyDescent="0.3"/>
    <row r="435" customFormat="1" ht="15.75" customHeight="1" x14ac:dyDescent="0.3"/>
    <row r="436" customFormat="1" ht="15.75" customHeight="1" x14ac:dyDescent="0.3"/>
    <row r="437" customFormat="1" ht="15.75" customHeight="1" x14ac:dyDescent="0.3"/>
    <row r="438" customFormat="1" ht="15.75" customHeight="1" x14ac:dyDescent="0.3"/>
    <row r="439" customFormat="1" ht="15.75" customHeight="1" x14ac:dyDescent="0.3"/>
    <row r="440" customFormat="1" ht="15.75" customHeight="1" x14ac:dyDescent="0.3"/>
    <row r="441" customFormat="1" ht="15.75" customHeight="1" x14ac:dyDescent="0.3"/>
    <row r="442" customFormat="1" ht="15.75" customHeight="1" x14ac:dyDescent="0.3"/>
    <row r="443" customFormat="1" ht="15.75" customHeight="1" x14ac:dyDescent="0.3"/>
    <row r="444" customFormat="1" ht="15.75" customHeight="1" x14ac:dyDescent="0.3"/>
    <row r="445" customFormat="1" ht="15.75" customHeight="1" x14ac:dyDescent="0.3"/>
    <row r="446" customFormat="1" ht="15.75" customHeight="1" x14ac:dyDescent="0.3"/>
    <row r="447" customFormat="1" ht="15.75" customHeight="1" x14ac:dyDescent="0.3"/>
    <row r="448" customFormat="1" ht="15.75" customHeight="1" x14ac:dyDescent="0.3"/>
    <row r="449" customFormat="1" ht="15.75" customHeight="1" x14ac:dyDescent="0.3"/>
    <row r="450" customFormat="1" ht="15.75" customHeight="1" x14ac:dyDescent="0.3"/>
    <row r="451" customFormat="1" ht="15.75" customHeight="1" x14ac:dyDescent="0.3"/>
    <row r="452" customFormat="1" ht="15.75" customHeight="1" x14ac:dyDescent="0.3"/>
    <row r="453" customFormat="1" ht="15.75" customHeight="1" x14ac:dyDescent="0.3"/>
    <row r="454" customFormat="1" ht="15.75" customHeight="1" x14ac:dyDescent="0.3"/>
    <row r="455" customFormat="1" ht="15.75" customHeight="1" x14ac:dyDescent="0.3"/>
    <row r="456" customFormat="1" ht="15.75" customHeight="1" x14ac:dyDescent="0.3"/>
    <row r="457" customFormat="1" ht="15.75" customHeight="1" x14ac:dyDescent="0.3"/>
    <row r="458" customFormat="1" ht="15.75" customHeight="1" x14ac:dyDescent="0.3"/>
    <row r="459" customFormat="1" ht="15.75" customHeight="1" x14ac:dyDescent="0.3"/>
    <row r="460" customFormat="1" ht="15.75" customHeight="1" x14ac:dyDescent="0.3"/>
    <row r="461" customFormat="1" ht="15.75" customHeight="1" x14ac:dyDescent="0.3"/>
    <row r="462" customFormat="1" ht="15.75" customHeight="1" x14ac:dyDescent="0.3"/>
    <row r="463" customFormat="1" ht="15.75" customHeight="1" x14ac:dyDescent="0.3"/>
    <row r="464" customFormat="1" ht="15.75" customHeight="1" x14ac:dyDescent="0.3"/>
    <row r="465" customFormat="1" ht="15.75" customHeight="1" x14ac:dyDescent="0.3"/>
    <row r="466" customFormat="1" ht="15.75" customHeight="1" x14ac:dyDescent="0.3"/>
    <row r="467" customFormat="1" ht="15.75" customHeight="1" x14ac:dyDescent="0.3"/>
    <row r="468" customFormat="1" ht="15.75" customHeight="1" x14ac:dyDescent="0.3"/>
    <row r="469" customFormat="1" ht="15.75" customHeight="1" x14ac:dyDescent="0.3"/>
    <row r="470" customFormat="1" ht="15.75" customHeight="1" x14ac:dyDescent="0.3"/>
    <row r="471" customFormat="1" ht="15.75" customHeight="1" x14ac:dyDescent="0.3"/>
    <row r="472" customFormat="1" ht="15.75" customHeight="1" x14ac:dyDescent="0.3"/>
    <row r="473" customFormat="1" ht="15.75" customHeight="1" x14ac:dyDescent="0.3"/>
    <row r="474" customFormat="1" ht="15.75" customHeight="1" x14ac:dyDescent="0.3"/>
    <row r="475" customFormat="1" ht="15.75" customHeight="1" x14ac:dyDescent="0.3"/>
    <row r="476" customFormat="1" ht="15.75" customHeight="1" x14ac:dyDescent="0.3"/>
    <row r="477" customFormat="1" ht="15.75" customHeight="1" x14ac:dyDescent="0.3"/>
    <row r="478" customFormat="1" ht="15.75" customHeight="1" x14ac:dyDescent="0.3"/>
    <row r="479" customFormat="1" ht="15.75" customHeight="1" x14ac:dyDescent="0.3"/>
    <row r="480" customFormat="1" ht="15.75" customHeight="1" x14ac:dyDescent="0.3"/>
    <row r="481" customFormat="1" ht="15.75" customHeight="1" x14ac:dyDescent="0.3"/>
    <row r="482" customFormat="1" ht="15.75" customHeight="1" x14ac:dyDescent="0.3"/>
    <row r="483" customFormat="1" ht="15.75" customHeight="1" x14ac:dyDescent="0.3"/>
    <row r="484" customFormat="1" ht="15.75" customHeight="1" x14ac:dyDescent="0.3"/>
    <row r="485" customFormat="1" ht="15.75" customHeight="1" x14ac:dyDescent="0.3"/>
    <row r="486" customFormat="1" ht="15.75" customHeight="1" x14ac:dyDescent="0.3"/>
    <row r="487" customFormat="1" ht="15.75" customHeight="1" x14ac:dyDescent="0.3"/>
    <row r="488" customFormat="1" ht="15.75" customHeight="1" x14ac:dyDescent="0.3"/>
    <row r="489" customFormat="1" ht="15.75" customHeight="1" x14ac:dyDescent="0.3"/>
    <row r="490" customFormat="1" ht="15.75" customHeight="1" x14ac:dyDescent="0.3"/>
    <row r="491" customFormat="1" ht="15.75" customHeight="1" x14ac:dyDescent="0.3"/>
    <row r="492" customFormat="1" ht="15.75" customHeight="1" x14ac:dyDescent="0.3"/>
    <row r="493" customFormat="1" ht="15.75" customHeight="1" x14ac:dyDescent="0.3"/>
    <row r="494" customFormat="1" ht="15.75" customHeight="1" x14ac:dyDescent="0.3"/>
    <row r="495" customFormat="1" ht="15.75" customHeight="1" x14ac:dyDescent="0.3"/>
    <row r="496" customFormat="1" ht="15.75" customHeight="1" x14ac:dyDescent="0.3"/>
    <row r="497" customFormat="1" ht="15.75" customHeight="1" x14ac:dyDescent="0.3"/>
    <row r="498" customFormat="1" ht="15.75" customHeight="1" x14ac:dyDescent="0.3"/>
    <row r="499" customFormat="1" ht="15.75" customHeight="1" x14ac:dyDescent="0.3"/>
    <row r="500" customFormat="1" ht="15.75" customHeight="1" x14ac:dyDescent="0.3"/>
    <row r="501" customFormat="1" ht="15.75" customHeight="1" x14ac:dyDescent="0.3"/>
    <row r="502" customFormat="1" ht="15.75" customHeight="1" x14ac:dyDescent="0.3"/>
    <row r="503" customFormat="1" ht="15.75" customHeight="1" x14ac:dyDescent="0.3"/>
    <row r="504" customFormat="1" ht="15.75" customHeight="1" x14ac:dyDescent="0.3"/>
    <row r="505" customFormat="1" ht="15.75" customHeight="1" x14ac:dyDescent="0.3"/>
    <row r="506" customFormat="1" ht="15.75" customHeight="1" x14ac:dyDescent="0.3"/>
    <row r="507" customFormat="1" ht="15.75" customHeight="1" x14ac:dyDescent="0.3"/>
    <row r="508" customFormat="1" ht="15.75" customHeight="1" x14ac:dyDescent="0.3"/>
    <row r="509" customFormat="1" ht="15.75" customHeight="1" x14ac:dyDescent="0.3"/>
    <row r="510" customFormat="1" ht="15.75" customHeight="1" x14ac:dyDescent="0.3"/>
    <row r="511" customFormat="1" ht="15.75" customHeight="1" x14ac:dyDescent="0.3"/>
    <row r="512" customFormat="1" ht="15.75" customHeight="1" x14ac:dyDescent="0.3"/>
    <row r="513" customFormat="1" ht="15.75" customHeight="1" x14ac:dyDescent="0.3"/>
    <row r="514" customFormat="1" ht="15.75" customHeight="1" x14ac:dyDescent="0.3"/>
    <row r="515" customFormat="1" ht="15.75" customHeight="1" x14ac:dyDescent="0.3"/>
    <row r="516" customFormat="1" ht="15.75" customHeight="1" x14ac:dyDescent="0.3"/>
    <row r="517" customFormat="1" ht="15.75" customHeight="1" x14ac:dyDescent="0.3"/>
    <row r="518" customFormat="1" ht="15.75" customHeight="1" x14ac:dyDescent="0.3"/>
    <row r="519" customFormat="1" ht="15.75" customHeight="1" x14ac:dyDescent="0.3"/>
    <row r="520" customFormat="1" ht="15.75" customHeight="1" x14ac:dyDescent="0.3"/>
    <row r="521" customFormat="1" ht="15.75" customHeight="1" x14ac:dyDescent="0.3"/>
    <row r="522" customFormat="1" ht="15.75" customHeight="1" x14ac:dyDescent="0.3"/>
    <row r="523" customFormat="1" ht="15.75" customHeight="1" x14ac:dyDescent="0.3"/>
    <row r="524" customFormat="1" ht="15.75" customHeight="1" x14ac:dyDescent="0.3"/>
    <row r="525" customFormat="1" ht="15.75" customHeight="1" x14ac:dyDescent="0.3"/>
    <row r="526" customFormat="1" ht="15.75" customHeight="1" x14ac:dyDescent="0.3"/>
    <row r="527" customFormat="1" ht="15.75" customHeight="1" x14ac:dyDescent="0.3"/>
    <row r="528" customFormat="1" ht="15.75" customHeight="1" x14ac:dyDescent="0.3"/>
    <row r="529" customFormat="1" ht="15.75" customHeight="1" x14ac:dyDescent="0.3"/>
    <row r="530" customFormat="1" ht="15.75" customHeight="1" x14ac:dyDescent="0.3"/>
    <row r="531" customFormat="1" ht="15.75" customHeight="1" x14ac:dyDescent="0.3"/>
    <row r="532" customFormat="1" ht="15.75" customHeight="1" x14ac:dyDescent="0.3"/>
    <row r="533" customFormat="1" ht="15.75" customHeight="1" x14ac:dyDescent="0.3"/>
    <row r="534" customFormat="1" ht="15.75" customHeight="1" x14ac:dyDescent="0.3"/>
    <row r="535" customFormat="1" ht="15.75" customHeight="1" x14ac:dyDescent="0.3"/>
    <row r="536" customFormat="1" ht="15.75" customHeight="1" x14ac:dyDescent="0.3"/>
    <row r="537" customFormat="1" ht="15.75" customHeight="1" x14ac:dyDescent="0.3"/>
    <row r="538" customFormat="1" ht="15.75" customHeight="1" x14ac:dyDescent="0.3"/>
    <row r="539" customFormat="1" ht="15.75" customHeight="1" x14ac:dyDescent="0.3"/>
    <row r="540" customFormat="1" ht="15.75" customHeight="1" x14ac:dyDescent="0.3"/>
    <row r="541" customFormat="1" ht="15.75" customHeight="1" x14ac:dyDescent="0.3"/>
    <row r="542" customFormat="1" ht="15.75" customHeight="1" x14ac:dyDescent="0.3"/>
    <row r="543" customFormat="1" ht="15.75" customHeight="1" x14ac:dyDescent="0.3"/>
    <row r="544" customFormat="1" ht="15.75" customHeight="1" x14ac:dyDescent="0.3"/>
    <row r="545" customFormat="1" ht="15.75" customHeight="1" x14ac:dyDescent="0.3"/>
    <row r="546" customFormat="1" ht="15.75" customHeight="1" x14ac:dyDescent="0.3"/>
    <row r="547" customFormat="1" ht="15.75" customHeight="1" x14ac:dyDescent="0.3"/>
    <row r="548" customFormat="1" ht="15.75" customHeight="1" x14ac:dyDescent="0.3"/>
    <row r="549" customFormat="1" ht="15.75" customHeight="1" x14ac:dyDescent="0.3"/>
    <row r="550" customFormat="1" ht="15.75" customHeight="1" x14ac:dyDescent="0.3"/>
    <row r="551" customFormat="1" ht="15.75" customHeight="1" x14ac:dyDescent="0.3"/>
    <row r="552" customFormat="1" ht="15.75" customHeight="1" x14ac:dyDescent="0.3"/>
    <row r="553" customFormat="1" ht="15.75" customHeight="1" x14ac:dyDescent="0.3"/>
    <row r="554" customFormat="1" ht="15.75" customHeight="1" x14ac:dyDescent="0.3"/>
    <row r="555" customFormat="1" ht="15.75" customHeight="1" x14ac:dyDescent="0.3"/>
    <row r="556" customFormat="1" ht="15.75" customHeight="1" x14ac:dyDescent="0.3"/>
    <row r="557" customFormat="1" ht="15.75" customHeight="1" x14ac:dyDescent="0.3"/>
    <row r="558" customFormat="1" ht="15.75" customHeight="1" x14ac:dyDescent="0.3"/>
    <row r="559" customFormat="1" ht="15.75" customHeight="1" x14ac:dyDescent="0.3"/>
    <row r="560" customFormat="1" ht="15.75" customHeight="1" x14ac:dyDescent="0.3"/>
    <row r="561" customFormat="1" ht="15.75" customHeight="1" x14ac:dyDescent="0.3"/>
    <row r="562" customFormat="1" ht="15.75" customHeight="1" x14ac:dyDescent="0.3"/>
    <row r="563" customFormat="1" ht="15.75" customHeight="1" x14ac:dyDescent="0.3"/>
    <row r="564" customFormat="1" ht="15.75" customHeight="1" x14ac:dyDescent="0.3"/>
    <row r="565" customFormat="1" ht="15.75" customHeight="1" x14ac:dyDescent="0.3"/>
    <row r="566" customFormat="1" ht="15.75" customHeight="1" x14ac:dyDescent="0.3"/>
    <row r="567" customFormat="1" ht="15.75" customHeight="1" x14ac:dyDescent="0.3"/>
    <row r="568" customFormat="1" ht="15.75" customHeight="1" x14ac:dyDescent="0.3"/>
    <row r="569" customFormat="1" ht="15.75" customHeight="1" x14ac:dyDescent="0.3"/>
    <row r="570" customFormat="1" ht="15.75" customHeight="1" x14ac:dyDescent="0.3"/>
    <row r="571" customFormat="1" ht="15.75" customHeight="1" x14ac:dyDescent="0.3"/>
    <row r="572" customFormat="1" ht="15.75" customHeight="1" x14ac:dyDescent="0.3"/>
    <row r="573" customFormat="1" ht="15.75" customHeight="1" x14ac:dyDescent="0.3"/>
    <row r="574" customFormat="1" ht="15.75" customHeight="1" x14ac:dyDescent="0.3"/>
    <row r="575" customFormat="1" ht="15.75" customHeight="1" x14ac:dyDescent="0.3"/>
    <row r="576" customFormat="1" ht="15.75" customHeight="1" x14ac:dyDescent="0.3"/>
    <row r="577" customFormat="1" ht="15.75" customHeight="1" x14ac:dyDescent="0.3"/>
    <row r="578" customFormat="1" ht="15.75" customHeight="1" x14ac:dyDescent="0.3"/>
    <row r="579" customFormat="1" ht="15.75" customHeight="1" x14ac:dyDescent="0.3"/>
    <row r="580" customFormat="1" ht="15.75" customHeight="1" x14ac:dyDescent="0.3"/>
    <row r="581" customFormat="1" ht="15.75" customHeight="1" x14ac:dyDescent="0.3"/>
    <row r="582" customFormat="1" ht="15.75" customHeight="1" x14ac:dyDescent="0.3"/>
    <row r="583" customFormat="1" ht="15.75" customHeight="1" x14ac:dyDescent="0.3"/>
    <row r="584" customFormat="1" ht="15.75" customHeight="1" x14ac:dyDescent="0.3"/>
    <row r="585" customFormat="1" ht="15.75" customHeight="1" x14ac:dyDescent="0.3"/>
    <row r="586" customFormat="1" ht="15.75" customHeight="1" x14ac:dyDescent="0.3"/>
    <row r="587" customFormat="1" ht="15.75" customHeight="1" x14ac:dyDescent="0.3"/>
    <row r="588" customFormat="1" ht="15.75" customHeight="1" x14ac:dyDescent="0.3"/>
    <row r="589" customFormat="1" ht="15.75" customHeight="1" x14ac:dyDescent="0.3"/>
    <row r="590" customFormat="1" ht="15.75" customHeight="1" x14ac:dyDescent="0.3"/>
    <row r="591" customFormat="1" ht="15.75" customHeight="1" x14ac:dyDescent="0.3"/>
    <row r="592" customFormat="1" ht="15.75" customHeight="1" x14ac:dyDescent="0.3"/>
    <row r="593" customFormat="1" ht="15.75" customHeight="1" x14ac:dyDescent="0.3"/>
    <row r="594" customFormat="1" ht="15.75" customHeight="1" x14ac:dyDescent="0.3"/>
    <row r="595" customFormat="1" ht="15.75" customHeight="1" x14ac:dyDescent="0.3"/>
    <row r="596" customFormat="1" ht="15.75" customHeight="1" x14ac:dyDescent="0.3"/>
    <row r="597" customFormat="1" ht="15.75" customHeight="1" x14ac:dyDescent="0.3"/>
    <row r="598" customFormat="1" ht="15.75" customHeight="1" x14ac:dyDescent="0.3"/>
    <row r="599" customFormat="1" ht="15.75" customHeight="1" x14ac:dyDescent="0.3"/>
    <row r="600" customFormat="1" ht="15.75" customHeight="1" x14ac:dyDescent="0.3"/>
    <row r="601" customFormat="1" ht="15.75" customHeight="1" x14ac:dyDescent="0.3"/>
    <row r="602" customFormat="1" ht="15.75" customHeight="1" x14ac:dyDescent="0.3"/>
    <row r="603" customFormat="1" ht="15.75" customHeight="1" x14ac:dyDescent="0.3"/>
    <row r="604" customFormat="1" ht="15.75" customHeight="1" x14ac:dyDescent="0.3"/>
    <row r="605" customFormat="1" ht="15.75" customHeight="1" x14ac:dyDescent="0.3"/>
    <row r="606" customFormat="1" ht="15.75" customHeight="1" x14ac:dyDescent="0.3"/>
    <row r="607" customFormat="1" ht="15.75" customHeight="1" x14ac:dyDescent="0.3"/>
    <row r="608" customFormat="1" ht="15.75" customHeight="1" x14ac:dyDescent="0.3"/>
    <row r="609" customFormat="1" ht="15.75" customHeight="1" x14ac:dyDescent="0.3"/>
    <row r="610" customFormat="1" ht="15.75" customHeight="1" x14ac:dyDescent="0.3"/>
    <row r="611" customFormat="1" ht="15.75" customHeight="1" x14ac:dyDescent="0.3"/>
    <row r="612" customFormat="1" ht="15.75" customHeight="1" x14ac:dyDescent="0.3"/>
    <row r="613" customFormat="1" ht="15.75" customHeight="1" x14ac:dyDescent="0.3"/>
    <row r="614" customFormat="1" ht="15.75" customHeight="1" x14ac:dyDescent="0.3"/>
    <row r="615" customFormat="1" ht="15.75" customHeight="1" x14ac:dyDescent="0.3"/>
    <row r="616" customFormat="1" ht="15.75" customHeight="1" x14ac:dyDescent="0.3"/>
    <row r="617" customFormat="1" ht="15.75" customHeight="1" x14ac:dyDescent="0.3"/>
    <row r="618" customFormat="1" ht="15.75" customHeight="1" x14ac:dyDescent="0.3"/>
    <row r="619" customFormat="1" ht="15.75" customHeight="1" x14ac:dyDescent="0.3"/>
    <row r="620" customFormat="1" ht="15.75" customHeight="1" x14ac:dyDescent="0.3"/>
    <row r="621" customFormat="1" ht="15.75" customHeight="1" x14ac:dyDescent="0.3"/>
    <row r="622" customFormat="1" ht="15.75" customHeight="1" x14ac:dyDescent="0.3"/>
    <row r="623" customFormat="1" ht="15.75" customHeight="1" x14ac:dyDescent="0.3"/>
    <row r="624" customFormat="1" ht="15.75" customHeight="1" x14ac:dyDescent="0.3"/>
    <row r="625" customFormat="1" ht="15.75" customHeight="1" x14ac:dyDescent="0.3"/>
    <row r="626" customFormat="1" ht="15.75" customHeight="1" x14ac:dyDescent="0.3"/>
    <row r="627" customFormat="1" ht="15.75" customHeight="1" x14ac:dyDescent="0.3"/>
    <row r="628" customFormat="1" ht="15.75" customHeight="1" x14ac:dyDescent="0.3"/>
    <row r="629" customFormat="1" ht="15.75" customHeight="1" x14ac:dyDescent="0.3"/>
    <row r="630" customFormat="1" ht="15.75" customHeight="1" x14ac:dyDescent="0.3"/>
    <row r="631" customFormat="1" ht="15.75" customHeight="1" x14ac:dyDescent="0.3"/>
    <row r="632" customFormat="1" ht="15.75" customHeight="1" x14ac:dyDescent="0.3"/>
    <row r="633" customFormat="1" ht="15.75" customHeight="1" x14ac:dyDescent="0.3"/>
    <row r="634" customFormat="1" ht="15.75" customHeight="1" x14ac:dyDescent="0.3"/>
    <row r="635" customFormat="1" ht="15.75" customHeight="1" x14ac:dyDescent="0.3"/>
    <row r="636" customFormat="1" ht="15.75" customHeight="1" x14ac:dyDescent="0.3"/>
    <row r="637" customFormat="1" ht="15.75" customHeight="1" x14ac:dyDescent="0.3"/>
    <row r="638" customFormat="1" ht="15.75" customHeight="1" x14ac:dyDescent="0.3"/>
    <row r="639" customFormat="1" ht="15.75" customHeight="1" x14ac:dyDescent="0.3"/>
    <row r="640" customFormat="1" ht="15.75" customHeight="1" x14ac:dyDescent="0.3"/>
    <row r="641" customFormat="1" ht="15.75" customHeight="1" x14ac:dyDescent="0.3"/>
    <row r="642" customFormat="1" ht="15.75" customHeight="1" x14ac:dyDescent="0.3"/>
    <row r="643" customFormat="1" ht="15.75" customHeight="1" x14ac:dyDescent="0.3"/>
    <row r="644" customFormat="1" ht="15.75" customHeight="1" x14ac:dyDescent="0.3"/>
    <row r="645" customFormat="1" ht="15.75" customHeight="1" x14ac:dyDescent="0.3"/>
    <row r="646" customFormat="1" ht="15.75" customHeight="1" x14ac:dyDescent="0.3"/>
    <row r="647" customFormat="1" ht="15.75" customHeight="1" x14ac:dyDescent="0.3"/>
    <row r="648" customFormat="1" ht="15.75" customHeight="1" x14ac:dyDescent="0.3"/>
    <row r="649" customFormat="1" ht="15.75" customHeight="1" x14ac:dyDescent="0.3"/>
    <row r="650" customFormat="1" ht="15.75" customHeight="1" x14ac:dyDescent="0.3"/>
    <row r="651" customFormat="1" ht="15.75" customHeight="1" x14ac:dyDescent="0.3"/>
    <row r="652" customFormat="1" ht="15.75" customHeight="1" x14ac:dyDescent="0.3"/>
    <row r="653" customFormat="1" ht="15.75" customHeight="1" x14ac:dyDescent="0.3"/>
    <row r="654" customFormat="1" ht="15.75" customHeight="1" x14ac:dyDescent="0.3"/>
    <row r="655" customFormat="1" ht="15.75" customHeight="1" x14ac:dyDescent="0.3"/>
    <row r="656" customFormat="1" ht="15.75" customHeight="1" x14ac:dyDescent="0.3"/>
    <row r="657" customFormat="1" ht="15.75" customHeight="1" x14ac:dyDescent="0.3"/>
    <row r="658" customFormat="1" ht="15.75" customHeight="1" x14ac:dyDescent="0.3"/>
    <row r="659" customFormat="1" ht="15.75" customHeight="1" x14ac:dyDescent="0.3"/>
    <row r="660" customFormat="1" ht="15.75" customHeight="1" x14ac:dyDescent="0.3"/>
    <row r="661" customFormat="1" ht="15.75" customHeight="1" x14ac:dyDescent="0.3"/>
    <row r="662" customFormat="1" ht="15.75" customHeight="1" x14ac:dyDescent="0.3"/>
    <row r="663" customFormat="1" ht="15.75" customHeight="1" x14ac:dyDescent="0.3"/>
    <row r="664" customFormat="1" ht="15.75" customHeight="1" x14ac:dyDescent="0.3"/>
    <row r="665" customFormat="1" ht="15.75" customHeight="1" x14ac:dyDescent="0.3"/>
    <row r="666" customFormat="1" ht="15.75" customHeight="1" x14ac:dyDescent="0.3"/>
    <row r="667" customFormat="1" ht="15.75" customHeight="1" x14ac:dyDescent="0.3"/>
    <row r="668" customFormat="1" ht="15.75" customHeight="1" x14ac:dyDescent="0.3"/>
    <row r="669" customFormat="1" ht="15.75" customHeight="1" x14ac:dyDescent="0.3"/>
    <row r="670" customFormat="1" ht="15.75" customHeight="1" x14ac:dyDescent="0.3"/>
    <row r="671" customFormat="1" ht="15.75" customHeight="1" x14ac:dyDescent="0.3"/>
    <row r="672" customFormat="1" ht="15.75" customHeight="1" x14ac:dyDescent="0.3"/>
    <row r="673" customFormat="1" ht="15.75" customHeight="1" x14ac:dyDescent="0.3"/>
    <row r="674" customFormat="1" ht="15.75" customHeight="1" x14ac:dyDescent="0.3"/>
    <row r="675" customFormat="1" ht="15.75" customHeight="1" x14ac:dyDescent="0.3"/>
    <row r="676" customFormat="1" ht="15.75" customHeight="1" x14ac:dyDescent="0.3"/>
    <row r="677" customFormat="1" ht="15.75" customHeight="1" x14ac:dyDescent="0.3"/>
    <row r="678" customFormat="1" ht="15.75" customHeight="1" x14ac:dyDescent="0.3"/>
    <row r="679" customFormat="1" ht="15.75" customHeight="1" x14ac:dyDescent="0.3"/>
    <row r="680" customFormat="1" ht="15.75" customHeight="1" x14ac:dyDescent="0.3"/>
    <row r="681" customFormat="1" ht="15.75" customHeight="1" x14ac:dyDescent="0.3"/>
    <row r="682" customFormat="1" ht="15.75" customHeight="1" x14ac:dyDescent="0.3"/>
    <row r="683" customFormat="1" ht="15.75" customHeight="1" x14ac:dyDescent="0.3"/>
    <row r="684" customFormat="1" ht="15.75" customHeight="1" x14ac:dyDescent="0.3"/>
    <row r="685" customFormat="1" ht="15.75" customHeight="1" x14ac:dyDescent="0.3"/>
    <row r="686" customFormat="1" ht="15.75" customHeight="1" x14ac:dyDescent="0.3"/>
    <row r="687" customFormat="1" ht="15.75" customHeight="1" x14ac:dyDescent="0.3"/>
    <row r="688" customFormat="1" ht="15.75" customHeight="1" x14ac:dyDescent="0.3"/>
    <row r="689" customFormat="1" ht="15.75" customHeight="1" x14ac:dyDescent="0.3"/>
    <row r="690" customFormat="1" ht="15.75" customHeight="1" x14ac:dyDescent="0.3"/>
    <row r="691" customFormat="1" ht="15.75" customHeight="1" x14ac:dyDescent="0.3"/>
    <row r="692" customFormat="1" ht="15.75" customHeight="1" x14ac:dyDescent="0.3"/>
    <row r="693" customFormat="1" ht="15.75" customHeight="1" x14ac:dyDescent="0.3"/>
    <row r="694" customFormat="1" ht="15.75" customHeight="1" x14ac:dyDescent="0.3"/>
    <row r="695" customFormat="1" ht="15.75" customHeight="1" x14ac:dyDescent="0.3"/>
    <row r="696" customFormat="1" ht="15.75" customHeight="1" x14ac:dyDescent="0.3"/>
    <row r="697" customFormat="1" ht="15.75" customHeight="1" x14ac:dyDescent="0.3"/>
    <row r="698" customFormat="1" ht="15.75" customHeight="1" x14ac:dyDescent="0.3"/>
    <row r="699" customFormat="1" ht="15.75" customHeight="1" x14ac:dyDescent="0.3"/>
    <row r="700" customFormat="1" ht="15.75" customHeight="1" x14ac:dyDescent="0.3"/>
    <row r="701" customFormat="1" ht="15.75" customHeight="1" x14ac:dyDescent="0.3"/>
    <row r="702" customFormat="1" ht="15.75" customHeight="1" x14ac:dyDescent="0.3"/>
    <row r="703" customFormat="1" ht="15.75" customHeight="1" x14ac:dyDescent="0.3"/>
    <row r="704" customFormat="1" ht="15.75" customHeight="1" x14ac:dyDescent="0.3"/>
    <row r="705" customFormat="1" ht="15.75" customHeight="1" x14ac:dyDescent="0.3"/>
    <row r="706" customFormat="1" ht="15.75" customHeight="1" x14ac:dyDescent="0.3"/>
    <row r="707" customFormat="1" ht="15.75" customHeight="1" x14ac:dyDescent="0.3"/>
    <row r="708" customFormat="1" ht="15.75" customHeight="1" x14ac:dyDescent="0.3"/>
    <row r="709" customFormat="1" ht="15.75" customHeight="1" x14ac:dyDescent="0.3"/>
    <row r="710" customFormat="1" ht="15.75" customHeight="1" x14ac:dyDescent="0.3"/>
    <row r="711" customFormat="1" ht="15.75" customHeight="1" x14ac:dyDescent="0.3"/>
    <row r="712" customFormat="1" ht="15.75" customHeight="1" x14ac:dyDescent="0.3"/>
    <row r="713" customFormat="1" ht="15.75" customHeight="1" x14ac:dyDescent="0.3"/>
    <row r="714" customFormat="1" ht="15.75" customHeight="1" x14ac:dyDescent="0.3"/>
    <row r="715" customFormat="1" ht="15.75" customHeight="1" x14ac:dyDescent="0.3"/>
    <row r="716" customFormat="1" ht="15.75" customHeight="1" x14ac:dyDescent="0.3"/>
    <row r="717" customFormat="1" ht="15.75" customHeight="1" x14ac:dyDescent="0.3"/>
    <row r="718" customFormat="1" ht="15.75" customHeight="1" x14ac:dyDescent="0.3"/>
    <row r="719" customFormat="1" ht="15.75" customHeight="1" x14ac:dyDescent="0.3"/>
    <row r="720" customFormat="1" ht="15.75" customHeight="1" x14ac:dyDescent="0.3"/>
    <row r="721" customFormat="1" ht="15.75" customHeight="1" x14ac:dyDescent="0.3"/>
    <row r="722" customFormat="1" ht="15.75" customHeight="1" x14ac:dyDescent="0.3"/>
    <row r="723" customFormat="1" ht="15.75" customHeight="1" x14ac:dyDescent="0.3"/>
    <row r="724" customFormat="1" ht="15.75" customHeight="1" x14ac:dyDescent="0.3"/>
    <row r="725" customFormat="1" ht="15.75" customHeight="1" x14ac:dyDescent="0.3"/>
    <row r="726" customFormat="1" ht="15.75" customHeight="1" x14ac:dyDescent="0.3"/>
    <row r="727" customFormat="1" ht="15.75" customHeight="1" x14ac:dyDescent="0.3"/>
    <row r="728" customFormat="1" ht="15.75" customHeight="1" x14ac:dyDescent="0.3"/>
    <row r="729" customFormat="1" ht="15.75" customHeight="1" x14ac:dyDescent="0.3"/>
    <row r="730" customFormat="1" ht="15.75" customHeight="1" x14ac:dyDescent="0.3"/>
    <row r="731" customFormat="1" ht="15.75" customHeight="1" x14ac:dyDescent="0.3"/>
    <row r="732" customFormat="1" ht="15.75" customHeight="1" x14ac:dyDescent="0.3"/>
    <row r="733" customFormat="1" ht="15.75" customHeight="1" x14ac:dyDescent="0.3"/>
    <row r="734" customFormat="1" ht="15.75" customHeight="1" x14ac:dyDescent="0.3"/>
    <row r="735" customFormat="1" ht="15.75" customHeight="1" x14ac:dyDescent="0.3"/>
    <row r="736" customFormat="1" ht="15.75" customHeight="1" x14ac:dyDescent="0.3"/>
    <row r="737" customFormat="1" ht="15.75" customHeight="1" x14ac:dyDescent="0.3"/>
    <row r="738" customFormat="1" ht="15.75" customHeight="1" x14ac:dyDescent="0.3"/>
    <row r="739" customFormat="1" ht="15.75" customHeight="1" x14ac:dyDescent="0.3"/>
    <row r="740" customFormat="1" ht="15.75" customHeight="1" x14ac:dyDescent="0.3"/>
    <row r="741" customFormat="1" ht="15.75" customHeight="1" x14ac:dyDescent="0.3"/>
    <row r="742" customFormat="1" ht="15.75" customHeight="1" x14ac:dyDescent="0.3"/>
    <row r="743" customFormat="1" ht="15.75" customHeight="1" x14ac:dyDescent="0.3"/>
    <row r="744" customFormat="1" ht="15.75" customHeight="1" x14ac:dyDescent="0.3"/>
    <row r="745" customFormat="1" ht="15.75" customHeight="1" x14ac:dyDescent="0.3"/>
    <row r="746" customFormat="1" ht="15.75" customHeight="1" x14ac:dyDescent="0.3"/>
    <row r="747" customFormat="1" ht="15.75" customHeight="1" x14ac:dyDescent="0.3"/>
    <row r="748" customFormat="1" ht="15.75" customHeight="1" x14ac:dyDescent="0.3"/>
    <row r="749" customFormat="1" ht="15.75" customHeight="1" x14ac:dyDescent="0.3"/>
    <row r="750" customFormat="1" ht="15.75" customHeight="1" x14ac:dyDescent="0.3"/>
    <row r="751" customFormat="1" ht="15.75" customHeight="1" x14ac:dyDescent="0.3"/>
    <row r="752" customFormat="1" ht="15.75" customHeight="1" x14ac:dyDescent="0.3"/>
    <row r="753" customFormat="1" ht="15.75" customHeight="1" x14ac:dyDescent="0.3"/>
    <row r="754" customFormat="1" ht="15.75" customHeight="1" x14ac:dyDescent="0.3"/>
    <row r="755" customFormat="1" ht="15.75" customHeight="1" x14ac:dyDescent="0.3"/>
    <row r="756" customFormat="1" ht="15.75" customHeight="1" x14ac:dyDescent="0.3"/>
    <row r="757" customFormat="1" ht="15.75" customHeight="1" x14ac:dyDescent="0.3"/>
    <row r="758" customFormat="1" ht="15.75" customHeight="1" x14ac:dyDescent="0.3"/>
    <row r="759" customFormat="1" ht="15.75" customHeight="1" x14ac:dyDescent="0.3"/>
    <row r="760" customFormat="1" ht="15.75" customHeight="1" x14ac:dyDescent="0.3"/>
    <row r="761" customFormat="1" ht="15.75" customHeight="1" x14ac:dyDescent="0.3"/>
    <row r="762" customFormat="1" ht="15.75" customHeight="1" x14ac:dyDescent="0.3"/>
    <row r="763" customFormat="1" ht="15.75" customHeight="1" x14ac:dyDescent="0.3"/>
    <row r="764" customFormat="1" ht="15.75" customHeight="1" x14ac:dyDescent="0.3"/>
    <row r="765" customFormat="1" ht="15.75" customHeight="1" x14ac:dyDescent="0.3"/>
    <row r="766" customFormat="1" ht="15.75" customHeight="1" x14ac:dyDescent="0.3"/>
    <row r="767" customFormat="1" ht="15.75" customHeight="1" x14ac:dyDescent="0.3"/>
    <row r="768" customFormat="1" ht="15.75" customHeight="1" x14ac:dyDescent="0.3"/>
    <row r="769" customFormat="1" ht="15.75" customHeight="1" x14ac:dyDescent="0.3"/>
    <row r="770" customFormat="1" ht="15.75" customHeight="1" x14ac:dyDescent="0.3"/>
    <row r="771" customFormat="1" ht="15.75" customHeight="1" x14ac:dyDescent="0.3"/>
    <row r="772" customFormat="1" ht="15.75" customHeight="1" x14ac:dyDescent="0.3"/>
    <row r="773" customFormat="1" ht="15.75" customHeight="1" x14ac:dyDescent="0.3"/>
    <row r="774" customFormat="1" ht="15.75" customHeight="1" x14ac:dyDescent="0.3"/>
    <row r="775" customFormat="1" ht="15.75" customHeight="1" x14ac:dyDescent="0.3"/>
    <row r="776" customFormat="1" ht="15.75" customHeight="1" x14ac:dyDescent="0.3"/>
    <row r="777" customFormat="1" ht="15.75" customHeight="1" x14ac:dyDescent="0.3"/>
    <row r="778" customFormat="1" ht="15.75" customHeight="1" x14ac:dyDescent="0.3"/>
    <row r="779" customFormat="1" ht="15.75" customHeight="1" x14ac:dyDescent="0.3"/>
    <row r="780" customFormat="1" ht="15.75" customHeight="1" x14ac:dyDescent="0.3"/>
    <row r="781" customFormat="1" ht="15.75" customHeight="1" x14ac:dyDescent="0.3"/>
    <row r="782" customFormat="1" ht="15.75" customHeight="1" x14ac:dyDescent="0.3"/>
    <row r="783" customFormat="1" ht="15.75" customHeight="1" x14ac:dyDescent="0.3"/>
    <row r="784" customFormat="1" ht="15.75" customHeight="1" x14ac:dyDescent="0.3"/>
    <row r="785" customFormat="1" ht="15.75" customHeight="1" x14ac:dyDescent="0.3"/>
    <row r="786" customFormat="1" ht="15.75" customHeight="1" x14ac:dyDescent="0.3"/>
    <row r="787" customFormat="1" ht="15.75" customHeight="1" x14ac:dyDescent="0.3"/>
    <row r="788" customFormat="1" ht="15.75" customHeight="1" x14ac:dyDescent="0.3"/>
    <row r="789" customFormat="1" ht="15.75" customHeight="1" x14ac:dyDescent="0.3"/>
    <row r="790" customFormat="1" ht="15.75" customHeight="1" x14ac:dyDescent="0.3"/>
    <row r="791" customFormat="1" ht="15.75" customHeight="1" x14ac:dyDescent="0.3"/>
    <row r="792" customFormat="1" ht="15.75" customHeight="1" x14ac:dyDescent="0.3"/>
    <row r="793" customFormat="1" ht="15.75" customHeight="1" x14ac:dyDescent="0.3"/>
    <row r="794" customFormat="1" ht="15.75" customHeight="1" x14ac:dyDescent="0.3"/>
    <row r="795" customFormat="1" ht="15.75" customHeight="1" x14ac:dyDescent="0.3"/>
    <row r="796" customFormat="1" ht="15.75" customHeight="1" x14ac:dyDescent="0.3"/>
    <row r="797" customFormat="1" ht="15.75" customHeight="1" x14ac:dyDescent="0.3"/>
    <row r="798" customFormat="1" ht="15.75" customHeight="1" x14ac:dyDescent="0.3"/>
    <row r="799" customFormat="1" ht="15.75" customHeight="1" x14ac:dyDescent="0.3"/>
    <row r="800" customFormat="1" ht="15.75" customHeight="1" x14ac:dyDescent="0.3"/>
    <row r="801" customFormat="1" ht="15.75" customHeight="1" x14ac:dyDescent="0.3"/>
    <row r="802" customFormat="1" ht="15.75" customHeight="1" x14ac:dyDescent="0.3"/>
    <row r="803" customFormat="1" ht="15.75" customHeight="1" x14ac:dyDescent="0.3"/>
    <row r="804" customFormat="1" ht="15.75" customHeight="1" x14ac:dyDescent="0.3"/>
    <row r="805" customFormat="1" ht="15.75" customHeight="1" x14ac:dyDescent="0.3"/>
    <row r="806" customFormat="1" ht="15.75" customHeight="1" x14ac:dyDescent="0.3"/>
    <row r="807" customFormat="1" ht="15.75" customHeight="1" x14ac:dyDescent="0.3"/>
    <row r="808" customFormat="1" ht="15.75" customHeight="1" x14ac:dyDescent="0.3"/>
    <row r="809" customFormat="1" ht="15.75" customHeight="1" x14ac:dyDescent="0.3"/>
    <row r="810" customFormat="1" ht="15.75" customHeight="1" x14ac:dyDescent="0.3"/>
    <row r="811" customFormat="1" ht="15.75" customHeight="1" x14ac:dyDescent="0.3"/>
    <row r="812" customFormat="1" ht="15.75" customHeight="1" x14ac:dyDescent="0.3"/>
    <row r="813" customFormat="1" ht="15.75" customHeight="1" x14ac:dyDescent="0.3"/>
    <row r="814" customFormat="1" ht="15.75" customHeight="1" x14ac:dyDescent="0.3"/>
    <row r="815" customFormat="1" ht="15.75" customHeight="1" x14ac:dyDescent="0.3"/>
    <row r="816" customFormat="1" ht="15.75" customHeight="1" x14ac:dyDescent="0.3"/>
    <row r="817" customFormat="1" ht="15.75" customHeight="1" x14ac:dyDescent="0.3"/>
    <row r="818" customFormat="1" ht="15.75" customHeight="1" x14ac:dyDescent="0.3"/>
    <row r="819" customFormat="1" ht="15.75" customHeight="1" x14ac:dyDescent="0.3"/>
    <row r="820" customFormat="1" ht="15.75" customHeight="1" x14ac:dyDescent="0.3"/>
    <row r="821" customFormat="1" ht="15.75" customHeight="1" x14ac:dyDescent="0.3"/>
    <row r="822" customFormat="1" ht="15.75" customHeight="1" x14ac:dyDescent="0.3"/>
    <row r="823" customFormat="1" ht="15.75" customHeight="1" x14ac:dyDescent="0.3"/>
    <row r="824" customFormat="1" ht="15.75" customHeight="1" x14ac:dyDescent="0.3"/>
    <row r="825" customFormat="1" ht="15.75" customHeight="1" x14ac:dyDescent="0.3"/>
    <row r="826" customFormat="1" ht="15.75" customHeight="1" x14ac:dyDescent="0.3"/>
    <row r="827" customFormat="1" ht="15.75" customHeight="1" x14ac:dyDescent="0.3"/>
    <row r="828" customFormat="1" ht="15.75" customHeight="1" x14ac:dyDescent="0.3"/>
    <row r="829" customFormat="1" ht="15.75" customHeight="1" x14ac:dyDescent="0.3"/>
    <row r="830" customFormat="1" ht="15.75" customHeight="1" x14ac:dyDescent="0.3"/>
    <row r="831" customFormat="1" ht="15.75" customHeight="1" x14ac:dyDescent="0.3"/>
    <row r="832" customFormat="1" ht="15.75" customHeight="1" x14ac:dyDescent="0.3"/>
    <row r="833" customFormat="1" ht="15.75" customHeight="1" x14ac:dyDescent="0.3"/>
    <row r="834" customFormat="1" ht="15.75" customHeight="1" x14ac:dyDescent="0.3"/>
    <row r="835" customFormat="1" ht="15.75" customHeight="1" x14ac:dyDescent="0.3"/>
    <row r="836" customFormat="1" ht="15.75" customHeight="1" x14ac:dyDescent="0.3"/>
    <row r="837" customFormat="1" ht="15.75" customHeight="1" x14ac:dyDescent="0.3"/>
    <row r="838" customFormat="1" ht="15.75" customHeight="1" x14ac:dyDescent="0.3"/>
    <row r="839" customFormat="1" ht="15.75" customHeight="1" x14ac:dyDescent="0.3"/>
    <row r="840" customFormat="1" ht="15.75" customHeight="1" x14ac:dyDescent="0.3"/>
    <row r="841" customFormat="1" ht="15.75" customHeight="1" x14ac:dyDescent="0.3"/>
    <row r="842" customFormat="1" ht="15.75" customHeight="1" x14ac:dyDescent="0.3"/>
    <row r="843" customFormat="1" ht="15.75" customHeight="1" x14ac:dyDescent="0.3"/>
    <row r="844" customFormat="1" ht="15.75" customHeight="1" x14ac:dyDescent="0.3"/>
    <row r="845" customFormat="1" ht="15.75" customHeight="1" x14ac:dyDescent="0.3"/>
    <row r="846" customFormat="1" ht="15.75" customHeight="1" x14ac:dyDescent="0.3"/>
    <row r="847" customFormat="1" ht="15.75" customHeight="1" x14ac:dyDescent="0.3"/>
    <row r="848" customFormat="1" ht="15.75" customHeight="1" x14ac:dyDescent="0.3"/>
    <row r="849" customFormat="1" ht="15.75" customHeight="1" x14ac:dyDescent="0.3"/>
    <row r="850" customFormat="1" ht="15.75" customHeight="1" x14ac:dyDescent="0.3"/>
    <row r="851" customFormat="1" ht="15.75" customHeight="1" x14ac:dyDescent="0.3"/>
    <row r="852" customFormat="1" ht="15.75" customHeight="1" x14ac:dyDescent="0.3"/>
    <row r="853" customFormat="1" ht="15.75" customHeight="1" x14ac:dyDescent="0.3"/>
    <row r="854" customFormat="1" ht="15.75" customHeight="1" x14ac:dyDescent="0.3"/>
    <row r="855" customFormat="1" ht="15.75" customHeight="1" x14ac:dyDescent="0.3"/>
    <row r="856" customFormat="1" ht="15.75" customHeight="1" x14ac:dyDescent="0.3"/>
    <row r="857" customFormat="1" ht="15.75" customHeight="1" x14ac:dyDescent="0.3"/>
    <row r="858" customFormat="1" ht="15.75" customHeight="1" x14ac:dyDescent="0.3"/>
    <row r="859" customFormat="1" ht="15.75" customHeight="1" x14ac:dyDescent="0.3"/>
    <row r="860" customFormat="1" ht="15.75" customHeight="1" x14ac:dyDescent="0.3"/>
    <row r="861" customFormat="1" ht="15.75" customHeight="1" x14ac:dyDescent="0.3"/>
    <row r="862" customFormat="1" ht="15.75" customHeight="1" x14ac:dyDescent="0.3"/>
    <row r="863" customFormat="1" ht="15.75" customHeight="1" x14ac:dyDescent="0.3"/>
    <row r="864" customFormat="1" ht="15.75" customHeight="1" x14ac:dyDescent="0.3"/>
    <row r="865" customFormat="1" ht="15.75" customHeight="1" x14ac:dyDescent="0.3"/>
    <row r="866" customFormat="1" ht="15.75" customHeight="1" x14ac:dyDescent="0.3"/>
    <row r="867" customFormat="1" ht="15.75" customHeight="1" x14ac:dyDescent="0.3"/>
    <row r="868" customFormat="1" ht="15.75" customHeight="1" x14ac:dyDescent="0.3"/>
    <row r="869" customFormat="1" ht="15.75" customHeight="1" x14ac:dyDescent="0.3"/>
    <row r="870" customFormat="1" ht="15.75" customHeight="1" x14ac:dyDescent="0.3"/>
    <row r="871" customFormat="1" ht="15.75" customHeight="1" x14ac:dyDescent="0.3"/>
    <row r="872" customFormat="1" ht="15.75" customHeight="1" x14ac:dyDescent="0.3"/>
    <row r="873" customFormat="1" ht="15.75" customHeight="1" x14ac:dyDescent="0.3"/>
    <row r="874" customFormat="1" ht="15.75" customHeight="1" x14ac:dyDescent="0.3"/>
    <row r="875" customFormat="1" ht="15.75" customHeight="1" x14ac:dyDescent="0.3"/>
    <row r="876" customFormat="1" ht="15.75" customHeight="1" x14ac:dyDescent="0.3"/>
    <row r="877" customFormat="1" ht="15.75" customHeight="1" x14ac:dyDescent="0.3"/>
    <row r="878" customFormat="1" ht="15.75" customHeight="1" x14ac:dyDescent="0.3"/>
    <row r="879" customFormat="1" ht="15.75" customHeight="1" x14ac:dyDescent="0.3"/>
    <row r="880" customFormat="1" ht="15.75" customHeight="1" x14ac:dyDescent="0.3"/>
    <row r="881" customFormat="1" ht="15.75" customHeight="1" x14ac:dyDescent="0.3"/>
    <row r="882" customFormat="1" ht="15.75" customHeight="1" x14ac:dyDescent="0.3"/>
    <row r="883" customFormat="1" ht="15.75" customHeight="1" x14ac:dyDescent="0.3"/>
    <row r="884" customFormat="1" ht="15.75" customHeight="1" x14ac:dyDescent="0.3"/>
    <row r="885" customFormat="1" ht="15.75" customHeight="1" x14ac:dyDescent="0.3"/>
    <row r="886" customFormat="1" ht="15.75" customHeight="1" x14ac:dyDescent="0.3"/>
    <row r="887" customFormat="1" ht="15.75" customHeight="1" x14ac:dyDescent="0.3"/>
    <row r="888" customFormat="1" ht="15.75" customHeight="1" x14ac:dyDescent="0.3"/>
    <row r="889" customFormat="1" ht="15.75" customHeight="1" x14ac:dyDescent="0.3"/>
    <row r="890" customFormat="1" ht="15.75" customHeight="1" x14ac:dyDescent="0.3"/>
    <row r="891" customFormat="1" ht="15.75" customHeight="1" x14ac:dyDescent="0.3"/>
    <row r="892" customFormat="1" ht="15.75" customHeight="1" x14ac:dyDescent="0.3"/>
    <row r="893" customFormat="1" ht="15.75" customHeight="1" x14ac:dyDescent="0.3"/>
    <row r="894" customFormat="1" ht="15.75" customHeight="1" x14ac:dyDescent="0.3"/>
    <row r="895" customFormat="1" ht="15.75" customHeight="1" x14ac:dyDescent="0.3"/>
    <row r="896" customFormat="1" ht="15.75" customHeight="1" x14ac:dyDescent="0.3"/>
    <row r="897" customFormat="1" ht="15.75" customHeight="1" x14ac:dyDescent="0.3"/>
    <row r="898" customFormat="1" ht="15.75" customHeight="1" x14ac:dyDescent="0.3"/>
    <row r="899" customFormat="1" ht="15.75" customHeight="1" x14ac:dyDescent="0.3"/>
    <row r="900" customFormat="1" ht="15.75" customHeight="1" x14ac:dyDescent="0.3"/>
    <row r="901" customFormat="1" ht="15.75" customHeight="1" x14ac:dyDescent="0.3"/>
    <row r="902" customFormat="1" ht="15.75" customHeight="1" x14ac:dyDescent="0.3"/>
    <row r="903" customFormat="1" ht="15.75" customHeight="1" x14ac:dyDescent="0.3"/>
    <row r="904" customFormat="1" ht="15.75" customHeight="1" x14ac:dyDescent="0.3"/>
    <row r="905" customFormat="1" ht="15.75" customHeight="1" x14ac:dyDescent="0.3"/>
    <row r="906" customFormat="1" ht="15.75" customHeight="1" x14ac:dyDescent="0.3"/>
    <row r="907" customFormat="1" ht="15.75" customHeight="1" x14ac:dyDescent="0.3"/>
    <row r="908" customFormat="1" ht="15.75" customHeight="1" x14ac:dyDescent="0.3"/>
    <row r="909" customFormat="1" ht="15.75" customHeight="1" x14ac:dyDescent="0.3"/>
    <row r="910" customFormat="1" ht="15.75" customHeight="1" x14ac:dyDescent="0.3"/>
    <row r="911" customFormat="1" ht="15.75" customHeight="1" x14ac:dyDescent="0.3"/>
    <row r="912" customFormat="1" ht="15.75" customHeight="1" x14ac:dyDescent="0.3"/>
    <row r="913" customFormat="1" ht="15.75" customHeight="1" x14ac:dyDescent="0.3"/>
    <row r="914" customFormat="1" ht="15.75" customHeight="1" x14ac:dyDescent="0.3"/>
    <row r="915" customFormat="1" ht="15.75" customHeight="1" x14ac:dyDescent="0.3"/>
    <row r="916" customFormat="1" ht="15.75" customHeight="1" x14ac:dyDescent="0.3"/>
    <row r="917" customFormat="1" ht="15.75" customHeight="1" x14ac:dyDescent="0.3"/>
    <row r="918" customFormat="1" ht="15.75" customHeight="1" x14ac:dyDescent="0.3"/>
    <row r="919" customFormat="1" ht="15.75" customHeight="1" x14ac:dyDescent="0.3"/>
    <row r="920" customFormat="1" ht="15.75" customHeight="1" x14ac:dyDescent="0.3"/>
    <row r="921" customFormat="1" ht="15.75" customHeight="1" x14ac:dyDescent="0.3"/>
    <row r="922" customFormat="1" ht="15.75" customHeight="1" x14ac:dyDescent="0.3"/>
    <row r="923" customFormat="1" ht="15.75" customHeight="1" x14ac:dyDescent="0.3"/>
    <row r="924" customFormat="1" ht="15.75" customHeight="1" x14ac:dyDescent="0.3"/>
    <row r="925" customFormat="1" ht="15.75" customHeight="1" x14ac:dyDescent="0.3"/>
    <row r="926" customFormat="1" ht="15.75" customHeight="1" x14ac:dyDescent="0.3"/>
    <row r="927" customFormat="1" ht="15.75" customHeight="1" x14ac:dyDescent="0.3"/>
    <row r="928" customFormat="1" ht="15.75" customHeight="1" x14ac:dyDescent="0.3"/>
    <row r="929" customFormat="1" ht="15.75" customHeight="1" x14ac:dyDescent="0.3"/>
    <row r="930" customFormat="1" ht="15.75" customHeight="1" x14ac:dyDescent="0.3"/>
    <row r="931" customFormat="1" ht="15.75" customHeight="1" x14ac:dyDescent="0.3"/>
    <row r="932" customFormat="1" ht="15.75" customHeight="1" x14ac:dyDescent="0.3"/>
    <row r="933" customFormat="1" ht="15.75" customHeight="1" x14ac:dyDescent="0.3"/>
    <row r="934" customFormat="1" ht="15.75" customHeight="1" x14ac:dyDescent="0.3"/>
    <row r="935" customFormat="1" ht="15.75" customHeight="1" x14ac:dyDescent="0.3"/>
    <row r="936" customFormat="1" ht="15.75" customHeight="1" x14ac:dyDescent="0.3"/>
    <row r="937" customFormat="1" ht="15.75" customHeight="1" x14ac:dyDescent="0.3"/>
    <row r="938" customFormat="1" ht="15.75" customHeight="1" x14ac:dyDescent="0.3"/>
    <row r="939" customFormat="1" ht="15.75" customHeight="1" x14ac:dyDescent="0.3"/>
    <row r="940" customFormat="1" ht="15.75" customHeight="1" x14ac:dyDescent="0.3"/>
    <row r="941" customFormat="1" ht="15.75" customHeight="1" x14ac:dyDescent="0.3"/>
    <row r="942" customFormat="1" ht="15.75" customHeight="1" x14ac:dyDescent="0.3"/>
    <row r="943" customFormat="1" ht="15.75" customHeight="1" x14ac:dyDescent="0.3"/>
    <row r="944" customFormat="1" ht="15.75" customHeight="1" x14ac:dyDescent="0.3"/>
    <row r="945" customFormat="1" ht="15.75" customHeight="1" x14ac:dyDescent="0.3"/>
    <row r="946" customFormat="1" ht="15.75" customHeight="1" x14ac:dyDescent="0.3"/>
    <row r="947" customFormat="1" ht="15.75" customHeight="1" x14ac:dyDescent="0.3"/>
    <row r="948" customFormat="1" ht="15.75" customHeight="1" x14ac:dyDescent="0.3"/>
    <row r="949" customFormat="1" ht="15.75" customHeight="1" x14ac:dyDescent="0.3"/>
    <row r="950" customFormat="1" ht="15.75" customHeight="1" x14ac:dyDescent="0.3"/>
    <row r="951" customFormat="1" ht="15.75" customHeight="1" x14ac:dyDescent="0.3"/>
    <row r="952" customFormat="1" ht="15.75" customHeight="1" x14ac:dyDescent="0.3"/>
    <row r="953" customFormat="1" ht="15.75" customHeight="1" x14ac:dyDescent="0.3"/>
    <row r="954" customFormat="1" ht="15.75" customHeight="1" x14ac:dyDescent="0.3"/>
    <row r="955" customFormat="1" ht="15.75" customHeight="1" x14ac:dyDescent="0.3"/>
    <row r="956" customFormat="1" ht="15.75" customHeight="1" x14ac:dyDescent="0.3"/>
    <row r="957" customFormat="1" ht="15.75" customHeight="1" x14ac:dyDescent="0.3"/>
    <row r="958" customFormat="1" ht="15.75" customHeight="1" x14ac:dyDescent="0.3"/>
    <row r="959" customFormat="1" ht="15.75" customHeight="1" x14ac:dyDescent="0.3"/>
    <row r="960" customFormat="1" ht="15.75" customHeight="1" x14ac:dyDescent="0.3"/>
    <row r="961" customFormat="1" ht="15.75" customHeight="1" x14ac:dyDescent="0.3"/>
    <row r="962" customFormat="1" ht="15.75" customHeight="1" x14ac:dyDescent="0.3"/>
    <row r="963" customFormat="1" ht="15.75" customHeight="1" x14ac:dyDescent="0.3"/>
    <row r="964" customFormat="1" ht="15.75" customHeight="1" x14ac:dyDescent="0.3"/>
    <row r="965" customFormat="1" ht="15.75" customHeight="1" x14ac:dyDescent="0.3"/>
    <row r="966" customFormat="1" ht="15.75" customHeight="1" x14ac:dyDescent="0.3"/>
    <row r="967" customFormat="1" ht="15.75" customHeight="1" x14ac:dyDescent="0.3"/>
    <row r="968" customFormat="1" ht="15.75" customHeight="1" x14ac:dyDescent="0.3"/>
    <row r="969" customFormat="1" ht="15.75" customHeight="1" x14ac:dyDescent="0.3"/>
    <row r="970" customFormat="1" ht="15.75" customHeight="1" x14ac:dyDescent="0.3"/>
    <row r="971" customFormat="1" ht="15.75" customHeight="1" x14ac:dyDescent="0.3"/>
    <row r="972" customFormat="1" ht="15.75" customHeight="1" x14ac:dyDescent="0.3"/>
    <row r="973" customFormat="1" ht="15.75" customHeight="1" x14ac:dyDescent="0.3"/>
    <row r="974" customFormat="1" ht="15.75" customHeight="1" x14ac:dyDescent="0.3"/>
    <row r="975" customFormat="1" ht="15.75" customHeight="1" x14ac:dyDescent="0.3"/>
    <row r="976" customFormat="1" ht="15.75" customHeight="1" x14ac:dyDescent="0.3"/>
    <row r="977" customFormat="1" ht="15.75" customHeight="1" x14ac:dyDescent="0.3"/>
    <row r="978" customFormat="1" ht="15.75" customHeight="1" x14ac:dyDescent="0.3"/>
    <row r="979" customFormat="1" ht="15.75" customHeight="1" x14ac:dyDescent="0.3"/>
    <row r="980" customFormat="1" ht="15.75" customHeight="1" x14ac:dyDescent="0.3"/>
    <row r="981" customFormat="1" ht="15.75" customHeight="1" x14ac:dyDescent="0.3"/>
    <row r="982" customFormat="1" ht="15.75" customHeight="1" x14ac:dyDescent="0.3"/>
    <row r="983" customFormat="1" ht="15.75" customHeight="1" x14ac:dyDescent="0.3"/>
    <row r="984" customFormat="1" ht="15.75" customHeight="1" x14ac:dyDescent="0.3"/>
    <row r="985" customFormat="1" ht="15.75" customHeight="1" x14ac:dyDescent="0.3"/>
    <row r="986" customFormat="1" ht="15.75" customHeight="1" x14ac:dyDescent="0.3"/>
    <row r="987" customFormat="1" ht="15.75" customHeight="1" x14ac:dyDescent="0.3"/>
    <row r="988" customFormat="1" ht="15.75" customHeight="1" x14ac:dyDescent="0.3"/>
    <row r="989" customFormat="1" ht="15.75" customHeight="1" x14ac:dyDescent="0.3"/>
    <row r="990" customFormat="1" ht="15.75" customHeight="1" x14ac:dyDescent="0.3"/>
    <row r="991" customFormat="1" ht="15.75" customHeight="1" x14ac:dyDescent="0.3"/>
    <row r="992" customFormat="1" ht="15.75" customHeight="1" x14ac:dyDescent="0.3"/>
    <row r="993" customFormat="1" ht="15.75" customHeight="1" x14ac:dyDescent="0.3"/>
    <row r="994" customFormat="1" ht="15.75" customHeight="1" x14ac:dyDescent="0.3"/>
    <row r="995" customFormat="1" ht="15.75" customHeight="1" x14ac:dyDescent="0.3"/>
    <row r="996" customFormat="1" ht="15.75" customHeight="1" x14ac:dyDescent="0.3"/>
    <row r="997" customFormat="1" ht="15.75" customHeight="1" x14ac:dyDescent="0.3"/>
    <row r="998" customFormat="1" ht="15.75" customHeight="1" x14ac:dyDescent="0.3"/>
    <row r="999" customFormat="1" ht="15.75" customHeight="1" x14ac:dyDescent="0.3"/>
    <row r="1000" customFormat="1" ht="15.75" customHeight="1" x14ac:dyDescent="0.3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52CBD-A2DA-4FD7-8F50-14F7D3CE97C5}">
  <dimension ref="B2:AB43"/>
  <sheetViews>
    <sheetView topLeftCell="A9" workbookViewId="0">
      <selection activeCell="B21" sqref="B21"/>
    </sheetView>
  </sheetViews>
  <sheetFormatPr baseColWidth="10" defaultColWidth="11.44140625" defaultRowHeight="14.4" outlineLevelRow="1" outlineLevelCol="1" x14ac:dyDescent="0.3"/>
  <cols>
    <col min="2" max="2" width="50.5546875" bestFit="1" customWidth="1"/>
    <col min="3" max="3" width="8.109375" hidden="1" customWidth="1" outlineLevel="1"/>
    <col min="4" max="4" width="8.88671875" hidden="1" customWidth="1" outlineLevel="1"/>
    <col min="5" max="5" width="8.109375" hidden="1" customWidth="1" outlineLevel="1"/>
    <col min="6" max="6" width="6.33203125" hidden="1" customWidth="1" outlineLevel="1"/>
    <col min="7" max="7" width="6.5546875" hidden="1" customWidth="1" outlineLevel="1"/>
    <col min="8" max="8" width="8.109375" hidden="1" customWidth="1" outlineLevel="1"/>
    <col min="9" max="9" width="6.44140625" hidden="1" customWidth="1" outlineLevel="1"/>
    <col min="10" max="10" width="6.88671875" hidden="1" customWidth="1" outlineLevel="1"/>
    <col min="11" max="11" width="10" hidden="1" customWidth="1" outlineLevel="1"/>
    <col min="12" max="12" width="6" hidden="1" customWidth="1" outlineLevel="1"/>
    <col min="13" max="13" width="9.33203125" hidden="1" customWidth="1" outlineLevel="1"/>
    <col min="14" max="14" width="8.109375" hidden="1" customWidth="1" outlineLevel="1"/>
    <col min="15" max="15" width="10.88671875" bestFit="1" customWidth="1" collapsed="1"/>
    <col min="16" max="27" width="10.88671875" bestFit="1" customWidth="1" outlineLevel="1" collapsed="1"/>
    <col min="28" max="28" width="14.88671875" bestFit="1" customWidth="1"/>
  </cols>
  <sheetData>
    <row r="2" spans="2:28" ht="25.8" x14ac:dyDescent="0.5">
      <c r="B2" s="1" t="s">
        <v>0</v>
      </c>
    </row>
    <row r="4" spans="2:28" ht="15.6" x14ac:dyDescent="0.3">
      <c r="B4" s="2" t="s">
        <v>169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 t="s">
        <v>1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 t="s">
        <v>154</v>
      </c>
    </row>
    <row r="5" spans="2:28" ht="28.8" x14ac:dyDescent="0.3">
      <c r="B5" s="4"/>
      <c r="C5" s="14">
        <v>44470</v>
      </c>
      <c r="D5" s="14">
        <v>44501</v>
      </c>
      <c r="E5" s="14">
        <v>44531</v>
      </c>
      <c r="F5" s="14">
        <v>44562</v>
      </c>
      <c r="G5" s="14">
        <v>44593</v>
      </c>
      <c r="H5" s="14">
        <v>44621</v>
      </c>
      <c r="I5" s="14">
        <v>44652</v>
      </c>
      <c r="J5" s="14">
        <v>44682</v>
      </c>
      <c r="K5" s="14">
        <v>44713</v>
      </c>
      <c r="L5" s="14">
        <v>44743</v>
      </c>
      <c r="M5" s="14">
        <v>44774</v>
      </c>
      <c r="N5" s="14">
        <v>44805</v>
      </c>
      <c r="O5" s="14" t="s">
        <v>141</v>
      </c>
      <c r="P5" s="14" t="s">
        <v>142</v>
      </c>
      <c r="Q5" s="14" t="s">
        <v>143</v>
      </c>
      <c r="R5" s="14" t="s">
        <v>144</v>
      </c>
      <c r="S5" s="14" t="s">
        <v>145</v>
      </c>
      <c r="T5" s="14" t="s">
        <v>146</v>
      </c>
      <c r="U5" s="14" t="s">
        <v>147</v>
      </c>
      <c r="V5" s="14" t="s">
        <v>148</v>
      </c>
      <c r="W5" s="14" t="s">
        <v>149</v>
      </c>
      <c r="X5" s="14" t="s">
        <v>150</v>
      </c>
      <c r="Y5" s="14" t="s">
        <v>151</v>
      </c>
      <c r="Z5" s="14" t="s">
        <v>152</v>
      </c>
      <c r="AA5" s="14" t="s">
        <v>153</v>
      </c>
      <c r="AB5" s="14" t="s">
        <v>157</v>
      </c>
    </row>
    <row r="6" spans="2:28" x14ac:dyDescent="0.3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 ht="21" x14ac:dyDescent="0.4">
      <c r="B7" s="6" t="s">
        <v>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collapsed="1" x14ac:dyDescent="0.3">
      <c r="B8" s="8" t="s">
        <v>4</v>
      </c>
      <c r="C8" s="9">
        <v>0</v>
      </c>
      <c r="D8" s="9">
        <v>-9420</v>
      </c>
      <c r="E8" s="9">
        <v>-2666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-40550</v>
      </c>
      <c r="L8" s="9">
        <v>0</v>
      </c>
      <c r="M8" s="9">
        <v>0</v>
      </c>
      <c r="N8" s="9">
        <v>0</v>
      </c>
      <c r="O8" s="9">
        <v>-52636</v>
      </c>
      <c r="P8" s="9">
        <f>SUM(P9:P10)</f>
        <v>0</v>
      </c>
      <c r="Q8" s="9">
        <f t="shared" ref="Q8:AA8" si="0">SUM(Q9:Q10)</f>
        <v>0</v>
      </c>
      <c r="R8" s="9">
        <f t="shared" si="0"/>
        <v>0</v>
      </c>
      <c r="S8" s="9">
        <f t="shared" si="0"/>
        <v>0</v>
      </c>
      <c r="T8" s="9">
        <f t="shared" si="0"/>
        <v>0</v>
      </c>
      <c r="U8" s="9">
        <f t="shared" si="0"/>
        <v>-35000</v>
      </c>
      <c r="V8" s="9">
        <f t="shared" si="0"/>
        <v>0</v>
      </c>
      <c r="W8" s="9">
        <f t="shared" si="0"/>
        <v>0</v>
      </c>
      <c r="X8" s="9">
        <f t="shared" si="0"/>
        <v>0</v>
      </c>
      <c r="Y8" s="9">
        <f t="shared" si="0"/>
        <v>-8000</v>
      </c>
      <c r="Z8" s="9">
        <f t="shared" si="0"/>
        <v>0</v>
      </c>
      <c r="AA8" s="9">
        <f t="shared" si="0"/>
        <v>0</v>
      </c>
      <c r="AB8" s="9">
        <f>SUM(P8:AA8)</f>
        <v>-43000</v>
      </c>
    </row>
    <row r="9" spans="2:28" outlineLevel="1" x14ac:dyDescent="0.3">
      <c r="B9" s="10" t="s">
        <v>23</v>
      </c>
      <c r="C9" s="11">
        <v>0</v>
      </c>
      <c r="D9" s="11">
        <v>-9420</v>
      </c>
      <c r="E9" s="11">
        <v>0</v>
      </c>
      <c r="F9" s="11"/>
      <c r="G9" s="11"/>
      <c r="H9" s="11"/>
      <c r="I9" s="11"/>
      <c r="J9" s="11"/>
      <c r="K9" s="11">
        <v>-40550</v>
      </c>
      <c r="L9" s="11">
        <v>0</v>
      </c>
      <c r="M9" s="11"/>
      <c r="N9" s="11"/>
      <c r="O9" s="11">
        <v>-49970</v>
      </c>
      <c r="P9" s="11"/>
      <c r="Q9" s="11"/>
      <c r="R9" s="11"/>
      <c r="S9" s="11"/>
      <c r="T9" s="11"/>
      <c r="U9" s="11">
        <v>-35000</v>
      </c>
      <c r="V9" s="11"/>
      <c r="W9" s="11"/>
      <c r="X9" s="11"/>
      <c r="Y9" s="11">
        <v>-8000</v>
      </c>
      <c r="Z9" s="11"/>
      <c r="AA9" s="11"/>
      <c r="AB9" s="11">
        <f t="shared" ref="AB9:AB42" si="1">SUM(P9:AA9)</f>
        <v>-43000</v>
      </c>
    </row>
    <row r="10" spans="2:28" outlineLevel="1" x14ac:dyDescent="0.3">
      <c r="B10" s="10" t="str">
        <f>"3211"&amp;" - "&amp;"Treningsavgift"</f>
        <v>3211 - Treningsavgift</v>
      </c>
      <c r="C10" s="11"/>
      <c r="D10" s="11"/>
      <c r="E10" s="11">
        <v>-2666</v>
      </c>
      <c r="F10" s="11"/>
      <c r="G10" s="11"/>
      <c r="H10" s="11"/>
      <c r="I10" s="11"/>
      <c r="J10" s="11"/>
      <c r="K10" s="11"/>
      <c r="L10" s="11"/>
      <c r="M10" s="11"/>
      <c r="N10" s="11"/>
      <c r="O10" s="11">
        <v>-2666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>
        <f t="shared" si="1"/>
        <v>0</v>
      </c>
    </row>
    <row r="11" spans="2:28" x14ac:dyDescent="0.3">
      <c r="B11" s="8" t="s">
        <v>5</v>
      </c>
      <c r="C11" s="9"/>
      <c r="D11" s="9"/>
      <c r="E11" s="9"/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f t="shared" si="1"/>
        <v>0</v>
      </c>
    </row>
    <row r="12" spans="2:28" x14ac:dyDescent="0.3">
      <c r="B12" s="8" t="s">
        <v>6</v>
      </c>
      <c r="C12" s="9"/>
      <c r="D12" s="9"/>
      <c r="E12" s="9"/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f t="shared" si="1"/>
        <v>0</v>
      </c>
    </row>
    <row r="13" spans="2:28" collapsed="1" x14ac:dyDescent="0.3">
      <c r="B13" s="8" t="s">
        <v>7</v>
      </c>
      <c r="C13" s="9"/>
      <c r="D13" s="9"/>
      <c r="E13" s="9"/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f>P14</f>
        <v>0</v>
      </c>
      <c r="Q13" s="9">
        <v>-10000</v>
      </c>
      <c r="R13" s="9">
        <f t="shared" ref="R13:AA13" si="2">R14</f>
        <v>0</v>
      </c>
      <c r="S13" s="9">
        <f t="shared" si="2"/>
        <v>0</v>
      </c>
      <c r="T13" s="9">
        <f t="shared" si="2"/>
        <v>0</v>
      </c>
      <c r="U13" s="9">
        <f t="shared" si="2"/>
        <v>0</v>
      </c>
      <c r="V13" s="9">
        <f t="shared" si="2"/>
        <v>0</v>
      </c>
      <c r="W13" s="9">
        <f t="shared" si="2"/>
        <v>0</v>
      </c>
      <c r="X13" s="9">
        <f t="shared" si="2"/>
        <v>0</v>
      </c>
      <c r="Y13" s="9">
        <f t="shared" si="2"/>
        <v>0</v>
      </c>
      <c r="Z13" s="9">
        <f t="shared" si="2"/>
        <v>0</v>
      </c>
      <c r="AA13" s="9">
        <f t="shared" si="2"/>
        <v>0</v>
      </c>
      <c r="AB13" s="9">
        <f t="shared" si="1"/>
        <v>-10000</v>
      </c>
    </row>
    <row r="14" spans="2:28" outlineLevel="1" x14ac:dyDescent="0.3">
      <c r="B14" s="10" t="s">
        <v>42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>
        <f t="shared" si="1"/>
        <v>0</v>
      </c>
    </row>
    <row r="15" spans="2:28" x14ac:dyDescent="0.3">
      <c r="B15" s="15" t="s">
        <v>8</v>
      </c>
      <c r="C15" s="16">
        <v>0</v>
      </c>
      <c r="D15" s="16">
        <v>-9420</v>
      </c>
      <c r="E15" s="16">
        <v>-2666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-40550</v>
      </c>
      <c r="L15" s="16">
        <v>0</v>
      </c>
      <c r="M15" s="16">
        <v>0</v>
      </c>
      <c r="N15" s="16">
        <v>0</v>
      </c>
      <c r="O15" s="16">
        <v>-52636</v>
      </c>
      <c r="P15" s="16">
        <f>P8+P11+P12+P13</f>
        <v>0</v>
      </c>
      <c r="Q15" s="16">
        <f t="shared" ref="Q15:AA15" si="3">Q8+Q11+Q12+Q13</f>
        <v>-10000</v>
      </c>
      <c r="R15" s="16">
        <f t="shared" si="3"/>
        <v>0</v>
      </c>
      <c r="S15" s="16">
        <f t="shared" si="3"/>
        <v>0</v>
      </c>
      <c r="T15" s="16">
        <f t="shared" si="3"/>
        <v>0</v>
      </c>
      <c r="U15" s="16">
        <f t="shared" si="3"/>
        <v>-35000</v>
      </c>
      <c r="V15" s="16">
        <f t="shared" si="3"/>
        <v>0</v>
      </c>
      <c r="W15" s="16">
        <f t="shared" si="3"/>
        <v>0</v>
      </c>
      <c r="X15" s="16">
        <f t="shared" si="3"/>
        <v>0</v>
      </c>
      <c r="Y15" s="16">
        <f t="shared" si="3"/>
        <v>-8000</v>
      </c>
      <c r="Z15" s="16">
        <f t="shared" si="3"/>
        <v>0</v>
      </c>
      <c r="AA15" s="16">
        <f t="shared" si="3"/>
        <v>0</v>
      </c>
      <c r="AB15" s="16">
        <f t="shared" si="1"/>
        <v>-53000</v>
      </c>
    </row>
    <row r="16" spans="2:28" x14ac:dyDescent="0.3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2:28" x14ac:dyDescent="0.3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2:28" ht="21" x14ac:dyDescent="0.4">
      <c r="B18" s="6" t="s">
        <v>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>
        <f t="shared" si="1"/>
        <v>0</v>
      </c>
    </row>
    <row r="19" spans="2:28" collapsed="1" x14ac:dyDescent="0.3">
      <c r="B19" s="8" t="s">
        <v>10</v>
      </c>
      <c r="C19" s="9">
        <v>4950</v>
      </c>
      <c r="D19" s="9">
        <v>0</v>
      </c>
      <c r="E19" s="9">
        <v>3780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13000</v>
      </c>
      <c r="N19" s="9">
        <v>5200</v>
      </c>
      <c r="O19" s="9">
        <v>26930</v>
      </c>
      <c r="P19" s="9">
        <f>SUM(P20:P21)</f>
        <v>0</v>
      </c>
      <c r="Q19" s="9">
        <f t="shared" ref="Q19:AA19" si="4">SUM(Q20:Q21)</f>
        <v>0</v>
      </c>
      <c r="R19" s="9">
        <f t="shared" si="4"/>
        <v>0</v>
      </c>
      <c r="S19" s="9">
        <f t="shared" si="4"/>
        <v>0</v>
      </c>
      <c r="T19" s="9">
        <f t="shared" si="4"/>
        <v>0</v>
      </c>
      <c r="U19" s="9">
        <f t="shared" si="4"/>
        <v>0</v>
      </c>
      <c r="V19" s="9">
        <f t="shared" si="4"/>
        <v>0</v>
      </c>
      <c r="W19" s="9">
        <f t="shared" si="4"/>
        <v>17000</v>
      </c>
      <c r="X19" s="9">
        <f t="shared" si="4"/>
        <v>0</v>
      </c>
      <c r="Y19" s="9">
        <f t="shared" si="4"/>
        <v>0</v>
      </c>
      <c r="Z19" s="9">
        <f t="shared" si="4"/>
        <v>0</v>
      </c>
      <c r="AA19" s="9">
        <f t="shared" si="4"/>
        <v>0</v>
      </c>
      <c r="AB19" s="9">
        <f t="shared" si="1"/>
        <v>17000</v>
      </c>
    </row>
    <row r="20" spans="2:28" outlineLevel="1" x14ac:dyDescent="0.3">
      <c r="B20" s="10" t="s">
        <v>54</v>
      </c>
      <c r="C20" s="11"/>
      <c r="D20" s="11"/>
      <c r="E20" s="11">
        <v>3780</v>
      </c>
      <c r="F20" s="11"/>
      <c r="G20" s="11"/>
      <c r="H20" s="11"/>
      <c r="I20" s="11"/>
      <c r="J20" s="11"/>
      <c r="K20" s="11"/>
      <c r="L20" s="11"/>
      <c r="M20" s="11"/>
      <c r="N20" s="11"/>
      <c r="O20" s="11">
        <v>3780</v>
      </c>
      <c r="P20" s="11"/>
      <c r="Q20" s="11"/>
      <c r="R20" s="11"/>
      <c r="S20" s="11"/>
      <c r="T20" s="11"/>
      <c r="U20" s="11"/>
      <c r="V20" s="11"/>
      <c r="W20" s="11">
        <v>4000</v>
      </c>
      <c r="X20" s="11"/>
      <c r="Y20" s="11"/>
      <c r="Z20" s="11"/>
      <c r="AA20" s="11"/>
      <c r="AB20" s="11">
        <f t="shared" si="1"/>
        <v>4000</v>
      </c>
    </row>
    <row r="21" spans="2:28" outlineLevel="1" collapsed="1" x14ac:dyDescent="0.3">
      <c r="B21" s="10" t="s">
        <v>164</v>
      </c>
      <c r="C21" s="11">
        <v>4950</v>
      </c>
      <c r="D21" s="11"/>
      <c r="E21" s="11"/>
      <c r="F21" s="11"/>
      <c r="G21" s="11"/>
      <c r="H21" s="11"/>
      <c r="I21" s="11"/>
      <c r="J21" s="11"/>
      <c r="K21" s="11"/>
      <c r="L21" s="11"/>
      <c r="M21" s="11">
        <v>13000</v>
      </c>
      <c r="N21" s="11">
        <v>5200</v>
      </c>
      <c r="O21" s="11">
        <v>23150</v>
      </c>
      <c r="P21" s="11"/>
      <c r="Q21" s="11"/>
      <c r="R21" s="11"/>
      <c r="S21" s="11"/>
      <c r="T21" s="11"/>
      <c r="U21" s="11"/>
      <c r="V21" s="11"/>
      <c r="W21" s="11">
        <v>13000</v>
      </c>
      <c r="X21" s="11"/>
      <c r="Y21" s="11"/>
      <c r="Z21" s="11"/>
      <c r="AA21" s="11"/>
      <c r="AB21" s="11">
        <f t="shared" si="1"/>
        <v>13000</v>
      </c>
    </row>
    <row r="22" spans="2:28" x14ac:dyDescent="0.3">
      <c r="B22" s="8" t="s">
        <v>11</v>
      </c>
      <c r="C22" s="9">
        <v>0</v>
      </c>
      <c r="D22" s="9">
        <v>0</v>
      </c>
      <c r="E22" s="9">
        <v>3578</v>
      </c>
      <c r="F22" s="9">
        <v>0</v>
      </c>
      <c r="G22" s="9">
        <v>0</v>
      </c>
      <c r="H22" s="9">
        <v>1181</v>
      </c>
      <c r="I22" s="9">
        <v>0</v>
      </c>
      <c r="J22" s="9">
        <v>0</v>
      </c>
      <c r="K22" s="9">
        <v>1181</v>
      </c>
      <c r="L22" s="9">
        <v>0</v>
      </c>
      <c r="M22" s="9">
        <v>0</v>
      </c>
      <c r="N22" s="9">
        <v>2381</v>
      </c>
      <c r="O22" s="9">
        <v>8321</v>
      </c>
      <c r="P22" s="9">
        <f>SUM(P23:P25)</f>
        <v>0</v>
      </c>
      <c r="Q22" s="9">
        <f t="shared" ref="Q22:AA22" si="5">SUM(Q23:Q25)</f>
        <v>0</v>
      </c>
      <c r="R22" s="9">
        <f t="shared" si="5"/>
        <v>6235</v>
      </c>
      <c r="S22" s="9">
        <f t="shared" si="5"/>
        <v>0</v>
      </c>
      <c r="T22" s="9">
        <f t="shared" si="5"/>
        <v>0</v>
      </c>
      <c r="U22" s="9">
        <f t="shared" si="5"/>
        <v>1235</v>
      </c>
      <c r="V22" s="9">
        <f t="shared" si="5"/>
        <v>0</v>
      </c>
      <c r="W22" s="9">
        <f t="shared" si="5"/>
        <v>0</v>
      </c>
      <c r="X22" s="9">
        <f t="shared" si="5"/>
        <v>1235</v>
      </c>
      <c r="Y22" s="9">
        <f t="shared" si="5"/>
        <v>0</v>
      </c>
      <c r="Z22" s="9">
        <f t="shared" si="5"/>
        <v>0</v>
      </c>
      <c r="AA22" s="9">
        <f t="shared" si="5"/>
        <v>4235</v>
      </c>
      <c r="AB22" s="9">
        <f t="shared" si="1"/>
        <v>12940</v>
      </c>
    </row>
    <row r="23" spans="2:28" outlineLevel="1" x14ac:dyDescent="0.3">
      <c r="B23" s="10" t="s">
        <v>165</v>
      </c>
      <c r="C23" s="11"/>
      <c r="D23" s="11"/>
      <c r="E23" s="11">
        <v>1238</v>
      </c>
      <c r="F23" s="11"/>
      <c r="G23" s="11"/>
      <c r="H23" s="11">
        <v>1181</v>
      </c>
      <c r="I23" s="11"/>
      <c r="J23" s="11"/>
      <c r="K23" s="11">
        <v>1181</v>
      </c>
      <c r="L23" s="11"/>
      <c r="M23" s="11"/>
      <c r="N23" s="11">
        <v>1181</v>
      </c>
      <c r="O23" s="11">
        <v>4781</v>
      </c>
      <c r="P23" s="11"/>
      <c r="Q23" s="11"/>
      <c r="R23" s="11">
        <v>1235</v>
      </c>
      <c r="S23" s="11"/>
      <c r="T23" s="11"/>
      <c r="U23" s="11">
        <v>1235</v>
      </c>
      <c r="V23" s="11"/>
      <c r="W23" s="11"/>
      <c r="X23" s="11">
        <v>1235</v>
      </c>
      <c r="Y23" s="11"/>
      <c r="Z23" s="11"/>
      <c r="AA23" s="11">
        <v>1235</v>
      </c>
      <c r="AB23" s="11">
        <f t="shared" si="1"/>
        <v>4940</v>
      </c>
    </row>
    <row r="24" spans="2:28" outlineLevel="1" collapsed="1" x14ac:dyDescent="0.3">
      <c r="B24" s="10" t="s">
        <v>170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>
        <v>1200</v>
      </c>
      <c r="O24" s="11">
        <v>1200</v>
      </c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>
        <f t="shared" si="1"/>
        <v>0</v>
      </c>
    </row>
    <row r="25" spans="2:28" outlineLevel="1" x14ac:dyDescent="0.3">
      <c r="B25" s="10" t="str">
        <f>"5980"&amp;" - "&amp;"Sosiale tiltak"</f>
        <v>5980 - Sosiale tiltak</v>
      </c>
      <c r="C25" s="11"/>
      <c r="D25" s="11"/>
      <c r="E25" s="11">
        <v>2340</v>
      </c>
      <c r="F25" s="11"/>
      <c r="G25" s="11"/>
      <c r="H25" s="11"/>
      <c r="I25" s="11"/>
      <c r="J25" s="11"/>
      <c r="K25" s="11"/>
      <c r="L25" s="11"/>
      <c r="M25" s="11"/>
      <c r="N25" s="11"/>
      <c r="O25" s="11">
        <v>2340</v>
      </c>
      <c r="P25" s="11"/>
      <c r="Q25" s="11"/>
      <c r="R25" s="11">
        <v>5000</v>
      </c>
      <c r="S25" s="11"/>
      <c r="T25" s="11"/>
      <c r="U25" s="11"/>
      <c r="V25" s="11"/>
      <c r="W25" s="11"/>
      <c r="X25" s="11"/>
      <c r="Y25" s="11"/>
      <c r="Z25" s="11"/>
      <c r="AA25" s="11">
        <v>3000</v>
      </c>
      <c r="AB25" s="11">
        <f t="shared" si="1"/>
        <v>8000</v>
      </c>
    </row>
    <row r="26" spans="2:28" x14ac:dyDescent="0.3">
      <c r="B26" s="8" t="s">
        <v>12</v>
      </c>
      <c r="C26" s="9"/>
      <c r="D26" s="9"/>
      <c r="E26" s="9"/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4748.8899999999994</v>
      </c>
      <c r="N26" s="9">
        <v>0</v>
      </c>
      <c r="O26" s="9">
        <v>4748.8899999999994</v>
      </c>
      <c r="P26" s="9">
        <f>SUM(P27:P28)</f>
        <v>600</v>
      </c>
      <c r="Q26" s="9">
        <f t="shared" ref="Q26:AA26" si="6">SUM(Q27:Q28)</f>
        <v>600</v>
      </c>
      <c r="R26" s="9">
        <f t="shared" si="6"/>
        <v>0</v>
      </c>
      <c r="S26" s="9">
        <f t="shared" si="6"/>
        <v>0</v>
      </c>
      <c r="T26" s="9">
        <f t="shared" si="6"/>
        <v>0</v>
      </c>
      <c r="U26" s="9">
        <f t="shared" si="6"/>
        <v>0</v>
      </c>
      <c r="V26" s="9">
        <f t="shared" si="6"/>
        <v>0</v>
      </c>
      <c r="W26" s="9">
        <f t="shared" si="6"/>
        <v>5100</v>
      </c>
      <c r="X26" s="9">
        <f t="shared" si="6"/>
        <v>600</v>
      </c>
      <c r="Y26" s="9">
        <f t="shared" si="6"/>
        <v>600</v>
      </c>
      <c r="Z26" s="9">
        <f t="shared" si="6"/>
        <v>600</v>
      </c>
      <c r="AA26" s="9">
        <f t="shared" si="6"/>
        <v>600</v>
      </c>
      <c r="AB26" s="9">
        <f t="shared" si="1"/>
        <v>8700</v>
      </c>
    </row>
    <row r="27" spans="2:28" outlineLevel="1" x14ac:dyDescent="0.3">
      <c r="B27" s="10" t="s">
        <v>76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>
        <v>675</v>
      </c>
      <c r="N27" s="11"/>
      <c r="O27" s="11">
        <v>675</v>
      </c>
      <c r="P27" s="11">
        <v>600</v>
      </c>
      <c r="Q27" s="11">
        <v>600</v>
      </c>
      <c r="R27" s="11"/>
      <c r="S27" s="11"/>
      <c r="T27" s="11"/>
      <c r="U27" s="11"/>
      <c r="V27" s="11"/>
      <c r="W27" s="11">
        <v>600</v>
      </c>
      <c r="X27" s="11">
        <v>600</v>
      </c>
      <c r="Y27" s="11">
        <v>600</v>
      </c>
      <c r="Z27" s="11">
        <v>600</v>
      </c>
      <c r="AA27" s="11">
        <v>600</v>
      </c>
      <c r="AB27" s="11">
        <f t="shared" si="1"/>
        <v>4200</v>
      </c>
    </row>
    <row r="28" spans="2:28" outlineLevel="1" collapsed="1" x14ac:dyDescent="0.3">
      <c r="B28" s="10" t="s">
        <v>82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>
        <v>4073.89</v>
      </c>
      <c r="N28" s="11"/>
      <c r="O28" s="11">
        <v>4073.89</v>
      </c>
      <c r="P28" s="11"/>
      <c r="Q28" s="11"/>
      <c r="R28" s="11"/>
      <c r="S28" s="11"/>
      <c r="T28" s="11"/>
      <c r="U28" s="11"/>
      <c r="V28" s="11"/>
      <c r="W28" s="11">
        <v>4500</v>
      </c>
      <c r="X28" s="11"/>
      <c r="Y28" s="11"/>
      <c r="Z28" s="11"/>
      <c r="AA28" s="11"/>
      <c r="AB28" s="11">
        <f t="shared" si="1"/>
        <v>4500</v>
      </c>
    </row>
    <row r="29" spans="2:28" x14ac:dyDescent="0.3">
      <c r="B29" s="8" t="s">
        <v>13</v>
      </c>
      <c r="C29" s="9"/>
      <c r="D29" s="9"/>
      <c r="E29" s="9"/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f>P30</f>
        <v>0</v>
      </c>
      <c r="Q29" s="9">
        <f t="shared" ref="Q29:AA29" si="7">Q30</f>
        <v>0</v>
      </c>
      <c r="R29" s="9">
        <f t="shared" si="7"/>
        <v>0</v>
      </c>
      <c r="S29" s="9">
        <f t="shared" si="7"/>
        <v>0</v>
      </c>
      <c r="T29" s="9">
        <f t="shared" si="7"/>
        <v>0</v>
      </c>
      <c r="U29" s="9">
        <f t="shared" si="7"/>
        <v>0</v>
      </c>
      <c r="V29" s="9">
        <f t="shared" si="7"/>
        <v>0</v>
      </c>
      <c r="W29" s="9">
        <f t="shared" si="7"/>
        <v>0</v>
      </c>
      <c r="X29" s="9">
        <f t="shared" si="7"/>
        <v>0</v>
      </c>
      <c r="Y29" s="9">
        <f t="shared" si="7"/>
        <v>0</v>
      </c>
      <c r="Z29" s="9">
        <f t="shared" si="7"/>
        <v>0</v>
      </c>
      <c r="AA29" s="9">
        <f t="shared" si="7"/>
        <v>0</v>
      </c>
      <c r="AB29" s="9">
        <f t="shared" si="1"/>
        <v>0</v>
      </c>
    </row>
    <row r="30" spans="2:28" outlineLevel="1" x14ac:dyDescent="0.3">
      <c r="B30" s="10" t="s">
        <v>123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>
        <f t="shared" si="1"/>
        <v>0</v>
      </c>
    </row>
    <row r="31" spans="2:28" x14ac:dyDescent="0.3">
      <c r="B31" s="8" t="s">
        <v>14</v>
      </c>
      <c r="C31" s="9"/>
      <c r="D31" s="9"/>
      <c r="E31" s="9"/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>
        <f t="shared" si="1"/>
        <v>0</v>
      </c>
    </row>
    <row r="32" spans="2:28" x14ac:dyDescent="0.3">
      <c r="B32" s="8" t="s">
        <v>15</v>
      </c>
      <c r="C32" s="9"/>
      <c r="D32" s="9"/>
      <c r="E32" s="9"/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>
        <f t="shared" si="1"/>
        <v>0</v>
      </c>
    </row>
    <row r="33" spans="2:28" x14ac:dyDescent="0.3">
      <c r="B33" s="8" t="s">
        <v>16</v>
      </c>
      <c r="C33" s="9"/>
      <c r="D33" s="9"/>
      <c r="E33" s="9"/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>
        <f t="shared" si="1"/>
        <v>0</v>
      </c>
    </row>
    <row r="34" spans="2:28" x14ac:dyDescent="0.3">
      <c r="B34" s="8" t="s">
        <v>5</v>
      </c>
      <c r="C34" s="9"/>
      <c r="D34" s="9"/>
      <c r="E34" s="9"/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>
        <f t="shared" si="1"/>
        <v>0</v>
      </c>
    </row>
    <row r="35" spans="2:28" collapsed="1" x14ac:dyDescent="0.3">
      <c r="B35" s="8" t="s">
        <v>17</v>
      </c>
      <c r="C35" s="9"/>
      <c r="D35" s="9"/>
      <c r="E35" s="9"/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f>SUM(P36:P37)</f>
        <v>0</v>
      </c>
      <c r="Q35" s="9">
        <f t="shared" ref="Q35:AA35" si="8">SUM(Q36:Q37)</f>
        <v>0</v>
      </c>
      <c r="R35" s="9">
        <f t="shared" si="8"/>
        <v>0</v>
      </c>
      <c r="S35" s="9">
        <f t="shared" si="8"/>
        <v>0</v>
      </c>
      <c r="T35" s="9">
        <f t="shared" si="8"/>
        <v>0</v>
      </c>
      <c r="U35" s="9">
        <f t="shared" si="8"/>
        <v>0</v>
      </c>
      <c r="V35" s="9">
        <f t="shared" si="8"/>
        <v>0</v>
      </c>
      <c r="W35" s="9">
        <f t="shared" si="8"/>
        <v>0</v>
      </c>
      <c r="X35" s="9">
        <f t="shared" si="8"/>
        <v>5200</v>
      </c>
      <c r="Y35" s="9">
        <f t="shared" si="8"/>
        <v>0</v>
      </c>
      <c r="Z35" s="9">
        <f t="shared" si="8"/>
        <v>0</v>
      </c>
      <c r="AA35" s="9">
        <f t="shared" si="8"/>
        <v>0</v>
      </c>
      <c r="AB35" s="9">
        <f t="shared" si="1"/>
        <v>5200</v>
      </c>
    </row>
    <row r="36" spans="2:28" outlineLevel="1" x14ac:dyDescent="0.3">
      <c r="B36" s="10" t="s">
        <v>130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>
        <v>5200</v>
      </c>
      <c r="Y36" s="11"/>
      <c r="Z36" s="11"/>
      <c r="AA36" s="11"/>
      <c r="AB36" s="11">
        <f t="shared" si="1"/>
        <v>5200</v>
      </c>
    </row>
    <row r="37" spans="2:28" outlineLevel="1" collapsed="1" x14ac:dyDescent="0.3">
      <c r="B37" s="10" t="s">
        <v>132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>
        <f t="shared" si="1"/>
        <v>0</v>
      </c>
    </row>
    <row r="38" spans="2:28" x14ac:dyDescent="0.3">
      <c r="B38" s="15" t="s">
        <v>18</v>
      </c>
      <c r="C38" s="16">
        <v>4950</v>
      </c>
      <c r="D38" s="16">
        <v>0</v>
      </c>
      <c r="E38" s="16">
        <v>7358</v>
      </c>
      <c r="F38" s="16">
        <v>0</v>
      </c>
      <c r="G38" s="16">
        <v>0</v>
      </c>
      <c r="H38" s="16">
        <v>1181</v>
      </c>
      <c r="I38" s="16">
        <v>0</v>
      </c>
      <c r="J38" s="16">
        <v>0</v>
      </c>
      <c r="K38" s="16">
        <v>1181</v>
      </c>
      <c r="L38" s="16">
        <v>0</v>
      </c>
      <c r="M38" s="16">
        <v>17748.89</v>
      </c>
      <c r="N38" s="16">
        <v>7581</v>
      </c>
      <c r="O38" s="16">
        <v>39999.89</v>
      </c>
      <c r="P38" s="16">
        <f>P19+P22+P26+P29+P31+P32+P33+P34+P35</f>
        <v>600</v>
      </c>
      <c r="Q38" s="16">
        <f t="shared" ref="Q38:AA38" si="9">Q19+Q22+Q26+Q29+Q31+Q32+Q33+Q34+Q35</f>
        <v>600</v>
      </c>
      <c r="R38" s="16">
        <f t="shared" si="9"/>
        <v>6235</v>
      </c>
      <c r="S38" s="16">
        <f t="shared" si="9"/>
        <v>0</v>
      </c>
      <c r="T38" s="16">
        <f t="shared" si="9"/>
        <v>0</v>
      </c>
      <c r="U38" s="16">
        <f t="shared" si="9"/>
        <v>1235</v>
      </c>
      <c r="V38" s="16">
        <f t="shared" si="9"/>
        <v>0</v>
      </c>
      <c r="W38" s="16">
        <f t="shared" si="9"/>
        <v>22100</v>
      </c>
      <c r="X38" s="16">
        <f t="shared" si="9"/>
        <v>7035</v>
      </c>
      <c r="Y38" s="16">
        <f t="shared" si="9"/>
        <v>600</v>
      </c>
      <c r="Z38" s="16">
        <f t="shared" si="9"/>
        <v>600</v>
      </c>
      <c r="AA38" s="16">
        <f t="shared" si="9"/>
        <v>4835</v>
      </c>
      <c r="AB38" s="16">
        <f t="shared" si="1"/>
        <v>43840</v>
      </c>
    </row>
    <row r="39" spans="2:28" x14ac:dyDescent="0.3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2:28" x14ac:dyDescent="0.3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</row>
    <row r="41" spans="2:28" x14ac:dyDescent="0.3">
      <c r="B41" s="8" t="s">
        <v>19</v>
      </c>
      <c r="C41" s="9"/>
      <c r="D41" s="9"/>
      <c r="E41" s="9"/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>
        <f t="shared" si="1"/>
        <v>0</v>
      </c>
    </row>
    <row r="42" spans="2:28" ht="16.2" thickBot="1" x14ac:dyDescent="0.35">
      <c r="B42" s="12" t="s">
        <v>20</v>
      </c>
      <c r="C42" s="13">
        <v>4950</v>
      </c>
      <c r="D42" s="13">
        <v>-9420</v>
      </c>
      <c r="E42" s="13">
        <v>4692</v>
      </c>
      <c r="F42" s="13">
        <v>0</v>
      </c>
      <c r="G42" s="13">
        <v>0</v>
      </c>
      <c r="H42" s="13">
        <v>1181</v>
      </c>
      <c r="I42" s="13">
        <v>0</v>
      </c>
      <c r="J42" s="13">
        <v>0</v>
      </c>
      <c r="K42" s="13">
        <v>-39369</v>
      </c>
      <c r="L42" s="13">
        <v>0</v>
      </c>
      <c r="M42" s="13">
        <v>17748.89</v>
      </c>
      <c r="N42" s="13">
        <v>7581</v>
      </c>
      <c r="O42" s="13">
        <v>-12858.11</v>
      </c>
      <c r="P42" s="13">
        <f>P15+P38+P41</f>
        <v>600</v>
      </c>
      <c r="Q42" s="13">
        <f t="shared" ref="Q42:AA42" si="10">Q15+Q38+Q41</f>
        <v>-9400</v>
      </c>
      <c r="R42" s="13">
        <f t="shared" si="10"/>
        <v>6235</v>
      </c>
      <c r="S42" s="13">
        <f t="shared" si="10"/>
        <v>0</v>
      </c>
      <c r="T42" s="13">
        <f t="shared" si="10"/>
        <v>0</v>
      </c>
      <c r="U42" s="13">
        <f t="shared" si="10"/>
        <v>-33765</v>
      </c>
      <c r="V42" s="13">
        <f t="shared" si="10"/>
        <v>0</v>
      </c>
      <c r="W42" s="13">
        <f t="shared" si="10"/>
        <v>22100</v>
      </c>
      <c r="X42" s="13">
        <f t="shared" si="10"/>
        <v>7035</v>
      </c>
      <c r="Y42" s="13">
        <f t="shared" si="10"/>
        <v>-7400</v>
      </c>
      <c r="Z42" s="13">
        <f t="shared" si="10"/>
        <v>600</v>
      </c>
      <c r="AA42" s="13">
        <f t="shared" si="10"/>
        <v>4835</v>
      </c>
      <c r="AB42" s="13">
        <f t="shared" si="1"/>
        <v>-9160</v>
      </c>
    </row>
    <row r="43" spans="2:28" ht="15" thickTop="1" x14ac:dyDescent="0.3"/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Samlet budsjett</vt:lpstr>
      <vt:lpstr>E-sport</vt:lpstr>
      <vt:lpstr>Allidrett</vt:lpstr>
      <vt:lpstr>Håndball</vt:lpstr>
      <vt:lpstr>Tennis</vt:lpstr>
      <vt:lpstr>Bueskyting</vt:lpstr>
      <vt:lpstr>Fotball</vt:lpstr>
      <vt:lpstr>Svømming</vt:lpstr>
      <vt:lpstr>Futsal</vt:lpstr>
      <vt:lpstr>Tur og Friluftsliv</vt:lpstr>
      <vt:lpstr>Hovedlaget</vt:lpstr>
      <vt:lpstr>Prosjekt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Ødeby</dc:creator>
  <cp:lastModifiedBy>Stine Sørumsand</cp:lastModifiedBy>
  <dcterms:created xsi:type="dcterms:W3CDTF">2022-10-24T06:15:05Z</dcterms:created>
  <dcterms:modified xsi:type="dcterms:W3CDTF">2023-03-21T13:22:23Z</dcterms:modified>
</cp:coreProperties>
</file>