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0.102"/>
  <workbookPr/>
  <bookViews>
    <workbookView xWindow="-23640" yWindow="1470" windowWidth="18555" windowHeight="17535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<sst xmlns="http://schemas.openxmlformats.org/spreadsheetml/2006/main" uniqueCount="25">
  <si>
    <t>Inntekter</t>
  </si>
  <si>
    <t>Resultat</t>
  </si>
  <si>
    <t>hittil i fjor</t>
  </si>
  <si>
    <t>Lønnskostnader</t>
  </si>
  <si>
    <t>Sum Driftskostnader</t>
  </si>
  <si>
    <t>Hittil I år</t>
  </si>
  <si>
    <t>Tilskudd</t>
  </si>
  <si>
    <t>Leieinntekter</t>
  </si>
  <si>
    <t>Sum Driftsinntekter</t>
  </si>
  <si>
    <t>Andre Kostnader</t>
  </si>
  <si>
    <t>Forsikring m.m.</t>
  </si>
  <si>
    <t>Andre inntekter</t>
  </si>
  <si>
    <t>Hele året</t>
  </si>
  <si>
    <t>Avvik</t>
  </si>
  <si>
    <t>Salgsinntekter</t>
  </si>
  <si>
    <t>Budsjett</t>
  </si>
  <si>
    <t>Norges Hundekjørerforbund</t>
  </si>
  <si>
    <t>Regnskap</t>
  </si>
  <si>
    <t>Sponsorkostnader</t>
  </si>
  <si>
    <t>Reklame/annonser</t>
  </si>
  <si>
    <t>Kontingenter/Gaver</t>
  </si>
  <si>
    <t>Varekostnader</t>
  </si>
  <si>
    <t>Kostnader</t>
  </si>
  <si>
    <t>Finansposter</t>
  </si>
  <si>
    <t>Reisekostnader</t>
  </si>
</sst>
</file>

<file path=xl/styles.xml><?xml version="1.0" encoding="utf-8"?>
<styleSheet xmlns="http://schemas.openxmlformats.org/spreadsheetml/2006/main">
  <numFmts count="3">
    <numFmt numFmtId="164" formatCode="_(* #,##0_);_(* \(#,##0\);_(* &quot;-&quot;_);_(@_)"/>
    <numFmt numFmtId="165" formatCode="_(* #,##0.00_);_(* \(#,##0.00\);_(* &quot;-&quot;??_);_(@_)"/>
    <numFmt numFmtId="166" formatCode="_ * #,##0_ ;_ * \-#,##0_ ;_ * &quot;-&quot;??_ ;_ @_ "/>
  </numFmts>
  <fonts count="25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16"/>
      <name val="Calibri"/>
      <family val="2"/>
      <scheme val="minor"/>
    </font>
    <font>
      <b/>
      <i/>
      <sz val="16"/>
      <color theme="0" tint="-0.499969482421875"/>
      <name val="Calibri"/>
      <family val="2"/>
      <scheme val="minor"/>
    </font>
    <font>
      <b/>
      <i/>
      <sz val="20"/>
      <color theme="0" tint="-0.499969482421875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7" tint="0.3999755851924192"/>
        <bgColor indexed="64"/>
      </patternFill>
    </fill>
    <fill>
      <patternFill patternType="solid">
        <fgColor theme="2" tint="-0.49996948242187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0" fillId="0" borderId="0" applyFont="0" applyFill="0" applyBorder="0" applyAlignment="0" applyProtection="0"/>
  </cellStyleXfs>
  <cellXfs count="34">
    <xf numFmtId="0" fontId="0" fillId="0" borderId="0" xfId="0"/>
    <xf numFmtId="164" fontId="0" fillId="2" borderId="1" xfId="1" applyNumberFormat="1" applyFont="1" applyFill="1" applyBorder="1"/>
    <xf numFmtId="164" fontId="0" fillId="3" borderId="1" xfId="0" applyNumberFormat="1" applyFill="1" applyBorder="1"/>
    <xf numFmtId="0" fontId="0" fillId="0" borderId="1" xfId="0" applyBorder="1"/>
    <xf numFmtId="166" fontId="1" fillId="4" borderId="2" xfId="1" applyNumberFormat="1" applyFont="1" applyFill="1" applyBorder="1"/>
    <xf numFmtId="165" fontId="2" fillId="4" borderId="3" xfId="0" applyNumberFormat="1" applyFont="1" applyFill="1" applyBorder="1"/>
    <xf numFmtId="0" fontId="2" fillId="4" borderId="3" xfId="0" applyFont="1" applyFill="1" applyBorder="1"/>
    <xf numFmtId="166" fontId="3" fillId="4" borderId="4" xfId="1" applyNumberFormat="1" applyFont="1" applyFill="1" applyBorder="1"/>
    <xf numFmtId="166" fontId="4" fillId="4" borderId="4" xfId="1" applyNumberFormat="1" applyFont="1" applyFill="1" applyBorder="1"/>
    <xf numFmtId="0" fontId="5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5" fillId="5" borderId="1" xfId="0" applyFont="1" applyFill="1" applyBorder="1"/>
    <xf numFmtId="0" fontId="0" fillId="3" borderId="1" xfId="0" applyFill="1" applyBorder="1"/>
    <xf numFmtId="0" fontId="0" fillId="2" borderId="1" xfId="0" applyFont="1" applyFill="1" applyBorder="1"/>
    <xf numFmtId="164" fontId="0" fillId="3" borderId="0" xfId="0" applyNumberFormat="1" applyFill="1"/>
    <xf numFmtId="164" fontId="0" fillId="2" borderId="0" xfId="1" applyNumberFormat="1" applyFont="1" applyFill="1" applyBorder="1"/>
    <xf numFmtId="164" fontId="0" fillId="3" borderId="5" xfId="0" applyNumberFormat="1" applyFill="1" applyBorder="1"/>
    <xf numFmtId="0" fontId="0" fillId="0" borderId="0" xfId="0" applyBorder="1"/>
    <xf numFmtId="0" fontId="1" fillId="4" borderId="1" xfId="0" applyFont="1" applyFill="1" applyBorder="1" applyAlignment="1">
      <alignment horizontal="center" wrapText="1"/>
    </xf>
    <xf numFmtId="0" fontId="6" fillId="4" borderId="3" xfId="0" applyFont="1" applyFill="1" applyBorder="1"/>
    <xf numFmtId="0" fontId="0" fillId="0" borderId="5" xfId="0" applyBorder="1"/>
    <xf numFmtId="0" fontId="2" fillId="4" borderId="6" xfId="0" applyFont="1" applyFill="1" applyBorder="1"/>
    <xf numFmtId="166" fontId="3" fillId="4" borderId="7" xfId="1" applyNumberFormat="1" applyFont="1" applyFill="1" applyBorder="1"/>
    <xf numFmtId="0" fontId="7" fillId="0" borderId="0" xfId="0" applyFont="1" applyAlignment="1">
      <alignment horizontal="left"/>
    </xf>
    <xf numFmtId="0" fontId="5" fillId="5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5" fillId="5" borderId="8" xfId="0" applyFont="1" applyFill="1" applyBorder="1"/>
    <xf numFmtId="0" fontId="4" fillId="4" borderId="4" xfId="0" applyFont="1" applyFill="1" applyBorder="1"/>
    <xf numFmtId="0" fontId="1" fillId="4" borderId="2" xfId="0" applyFont="1" applyFill="1" applyBorder="1"/>
    <xf numFmtId="166" fontId="4" fillId="4" borderId="7" xfId="1" applyNumberFormat="1" applyFont="1" applyFill="1" applyBorder="1"/>
    <xf numFmtId="0" fontId="8" fillId="0" borderId="0" xfId="0" applyFont="1" applyAlignment="1">
      <alignment horizontal="left"/>
    </xf>
    <xf numFmtId="166" fontId="4" fillId="4" borderId="9" xfId="1" applyNumberFormat="1" applyFont="1" applyFill="1" applyBorder="1"/>
    <xf numFmtId="0" fontId="3" fillId="4" borderId="4" xfId="0" applyFont="1" applyFill="1" applyBorder="1"/>
  </cellXfs>
  <cellStyles count="2">
    <cellStyle name="Comma" xfId="1" builtinId="3"/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4:AF109"/>
  <sheetViews>
    <sheetView tabSelected="1" workbookViewId="0">
      <selection activeCell="B45" sqref="B45"/>
    </sheetView>
  </sheetViews>
  <sheetFormatPr defaultColWidth="9.140625" defaultRowHeight="15" outlineLevelRow="1" outlineLevelCol="1"/>
  <cols>
    <col min="2" max="2" width="39.42578125" customWidth="1"/>
    <col min="3" max="3" width="9.140625" hidden="1" customWidth="1" outlineLevel="1"/>
    <col min="4" max="14" width="9.140625" hidden="1" customWidth="1" outlineLevel="1"/>
    <col min="15" max="15" width="11.7109375" customWidth="1" collapsed="1"/>
    <col min="16" max="16" width="11.7109375" customWidth="1"/>
    <col min="17" max="17" width="11.7109375" hidden="1" customWidth="1" outlineLevel="1"/>
    <col min="18" max="28" width="11.7109375" hidden="1" customWidth="1" outlineLevel="1"/>
    <col min="29" max="29" width="11.7109375" customWidth="1" collapsed="1"/>
    <col min="30" max="30" width="11.7109375" hidden="1" customWidth="1"/>
    <col min="31" max="31" width="11.7109375" customWidth="1"/>
  </cols>
  <sheetData>
    <row r="4" ht="26.25">
      <c r="B4" s="31" t="s">
        <v>16</v>
      </c>
    </row>
    <row r="5" ht="21">
      <c r="B5" s="24">
        <v>202512</v>
      </c>
    </row>
    <row r="9" ht="15.75">
      <c r="B9" s="27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9" t="s">
        <v>17</v>
      </c>
      <c r="P9" s="9" t="s">
        <v>15</v>
      </c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 t="s">
        <v>15</v>
      </c>
      <c r="AD9" s="25"/>
      <c r="AE9" s="9" t="s">
        <v>17</v>
      </c>
    </row>
    <row r="10" ht="30">
      <c r="B10" s="10"/>
      <c r="C10" s="10">
        <v>1</v>
      </c>
      <c r="D10" s="10">
        <v>2</v>
      </c>
      <c r="E10" s="10">
        <v>3</v>
      </c>
      <c r="F10" s="10">
        <v>4</v>
      </c>
      <c r="G10" s="10">
        <v>5</v>
      </c>
      <c r="H10" s="10">
        <v>6</v>
      </c>
      <c r="I10" s="10">
        <v>7</v>
      </c>
      <c r="J10" s="10">
        <v>8</v>
      </c>
      <c r="K10" s="10">
        <v>9</v>
      </c>
      <c r="L10" s="10">
        <v>10</v>
      </c>
      <c r="M10" s="10">
        <v>11</v>
      </c>
      <c r="N10" s="10">
        <v>12</v>
      </c>
      <c r="O10" s="19" t="s">
        <v>5</v>
      </c>
      <c r="P10" s="19" t="s">
        <v>5</v>
      </c>
      <c r="Q10" s="11">
        <v>1</v>
      </c>
      <c r="R10" s="11">
        <v>2</v>
      </c>
      <c r="S10" s="11">
        <v>3</v>
      </c>
      <c r="T10" s="11">
        <v>4</v>
      </c>
      <c r="U10" s="11">
        <v>5</v>
      </c>
      <c r="V10" s="11">
        <v>6</v>
      </c>
      <c r="W10" s="11">
        <v>7</v>
      </c>
      <c r="X10" s="11">
        <v>8</v>
      </c>
      <c r="Y10" s="11">
        <v>9</v>
      </c>
      <c r="Z10" s="11">
        <v>10</v>
      </c>
      <c r="AA10" s="11">
        <v>11</v>
      </c>
      <c r="AB10" s="11">
        <v>12</v>
      </c>
      <c r="AC10" s="19" t="s">
        <v>12</v>
      </c>
      <c r="AD10" s="26" t="s">
        <v>13</v>
      </c>
      <c r="AE10" s="19" t="s">
        <v>2</v>
      </c>
    </row>
    <row r="1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18"/>
      <c r="AE11" s="3"/>
    </row>
    <row r="12" ht="21">
      <c r="B12" s="20" t="s">
        <v>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22"/>
      <c r="AE12" s="6"/>
    </row>
    <row r="13">
      <c r="B13" s="14" t="s">
        <v>14</v>
      </c>
      <c r="C13" s="1">
        <f t="shared" si="0" ref="C13:AC13">SUM(C14:C16)</f>
        <v>0</v>
      </c>
      <c r="D13" s="1">
        <f t="shared" si="0"/>
        <v>0</v>
      </c>
      <c r="E13" s="1">
        <f t="shared" si="0"/>
        <v>0</v>
      </c>
      <c r="F13" s="1">
        <f t="shared" si="0"/>
        <v>0</v>
      </c>
      <c r="G13" s="1">
        <f t="shared" si="0"/>
        <v>0</v>
      </c>
      <c r="H13" s="1">
        <f t="shared" si="0"/>
        <v>0</v>
      </c>
      <c r="I13" s="1">
        <f t="shared" si="0"/>
        <v>0</v>
      </c>
      <c r="J13" s="1">
        <f t="shared" si="0"/>
        <v>0</v>
      </c>
      <c r="K13" s="1">
        <f t="shared" si="0"/>
        <v>0</v>
      </c>
      <c r="L13" s="1">
        <f t="shared" si="0"/>
        <v>0</v>
      </c>
      <c r="M13" s="1">
        <f t="shared" si="0"/>
        <v>0</v>
      </c>
      <c r="N13" s="1">
        <f t="shared" si="0"/>
        <v>0</v>
      </c>
      <c r="O13" s="1">
        <f t="shared" si="0"/>
        <v>0</v>
      </c>
      <c r="P13" s="1">
        <f t="shared" si="0"/>
        <v>0</v>
      </c>
      <c r="Q13" s="1">
        <f t="shared" si="0"/>
        <v>0</v>
      </c>
      <c r="R13" s="1">
        <f t="shared" si="0"/>
        <v>0</v>
      </c>
      <c r="S13" s="1">
        <f t="shared" si="0"/>
        <v>0</v>
      </c>
      <c r="T13" s="1">
        <f t="shared" si="0"/>
        <v>0</v>
      </c>
      <c r="U13" s="1">
        <f t="shared" si="0"/>
        <v>0</v>
      </c>
      <c r="V13" s="1">
        <f t="shared" si="0"/>
        <v>0</v>
      </c>
      <c r="W13" s="1">
        <f t="shared" si="0"/>
        <v>0</v>
      </c>
      <c r="X13" s="1">
        <f t="shared" si="0"/>
        <v>0</v>
      </c>
      <c r="Y13" s="1">
        <f t="shared" si="0"/>
        <v>0</v>
      </c>
      <c r="Z13" s="1">
        <f t="shared" si="0"/>
        <v>0</v>
      </c>
      <c r="AA13" s="1">
        <f t="shared" si="0"/>
        <v>0</v>
      </c>
      <c r="AB13" s="1">
        <f t="shared" si="0"/>
        <v>0</v>
      </c>
      <c r="AC13" s="1">
        <f t="shared" si="0"/>
        <v>0</v>
      </c>
      <c r="AD13" s="16">
        <f>SUM(AC13)</f>
        <v>0</v>
      </c>
      <c r="AE13" s="1">
        <f>SUM(AE14:AE16)</f>
        <v>-28000</v>
      </c>
    </row>
    <row r="14" hidden="1" outlineLevel="1">
      <c r="B14" s="13" t="str">
        <f>"3100"&amp;" - "&amp;"Salgsinntekter, avgiftsfrie"</f>
        <v>3100 - Salgsinntekter, avgiftsfrie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>
        <v>0</v>
      </c>
      <c r="N14" s="2"/>
      <c r="O14" s="2">
        <v>0</v>
      </c>
      <c r="P14" s="2">
        <f t="shared" si="1" ref="P14:P16">0*(-1)</f>
        <v>0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>
        <f t="shared" si="2" ref="AC14:AC16">0*(-1)</f>
        <v>0</v>
      </c>
      <c r="AD14" s="15">
        <f t="shared" si="3" ref="AD14:AD16">AC14-O14</f>
        <v>0</v>
      </c>
      <c r="AE14" s="17"/>
    </row>
    <row r="15" hidden="1" outlineLevel="1" customFormat="1">
      <c r="B15" s="13" t="str">
        <f>"3120"&amp;" - "&amp;"Sponsorinntekt, avgiftsfri"</f>
        <v>3120 - Sponsorinntekt, avgiftsfri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>
        <f t="shared" si="1"/>
        <v>0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>
        <f t="shared" si="2"/>
        <v>0</v>
      </c>
      <c r="AD15" s="15">
        <f t="shared" si="3"/>
        <v>0</v>
      </c>
      <c r="AE15" s="17">
        <v>-28000</v>
      </c>
    </row>
    <row r="16" hidden="1" outlineLevel="1" customFormat="1">
      <c r="B16" s="13" t="str">
        <f>"3200"&amp;" - "&amp;"Salgsinntekter, utenfor avg.omr."</f>
        <v>3200 - Salgsinntekter, utenfor avg.omr.</v>
      </c>
      <c r="C16" s="2"/>
      <c r="D16" s="2"/>
      <c r="E16" s="2"/>
      <c r="F16" s="2">
        <v>0</v>
      </c>
      <c r="G16" s="2"/>
      <c r="H16" s="2"/>
      <c r="I16" s="2"/>
      <c r="J16" s="2"/>
      <c r="K16" s="2"/>
      <c r="L16" s="2"/>
      <c r="M16" s="2"/>
      <c r="N16" s="2"/>
      <c r="O16" s="2">
        <v>0</v>
      </c>
      <c r="P16" s="2">
        <f t="shared" si="1"/>
        <v>0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>
        <f t="shared" si="2"/>
        <v>0</v>
      </c>
      <c r="AD16" s="15">
        <f t="shared" si="3"/>
        <v>0</v>
      </c>
      <c r="AE16" s="17"/>
    </row>
    <row r="17" collapsed="1" customFormat="1">
      <c r="B17" s="14" t="s">
        <v>6</v>
      </c>
      <c r="C17" s="1">
        <f t="shared" si="4" ref="C17:AC17">SUM(C18)</f>
        <v>0</v>
      </c>
      <c r="D17" s="1">
        <f t="shared" si="4"/>
        <v>-1206179</v>
      </c>
      <c r="E17" s="1">
        <f t="shared" si="4"/>
        <v>0</v>
      </c>
      <c r="F17" s="1">
        <f t="shared" si="4"/>
        <v>0</v>
      </c>
      <c r="G17" s="1">
        <f t="shared" si="4"/>
        <v>0</v>
      </c>
      <c r="H17" s="1">
        <f t="shared" si="4"/>
        <v>0</v>
      </c>
      <c r="I17" s="1">
        <f t="shared" si="4"/>
        <v>0</v>
      </c>
      <c r="J17" s="1">
        <f t="shared" si="4"/>
        <v>0</v>
      </c>
      <c r="K17" s="1">
        <f t="shared" si="4"/>
        <v>0</v>
      </c>
      <c r="L17" s="1">
        <f t="shared" si="4"/>
        <v>0</v>
      </c>
      <c r="M17" s="1">
        <f t="shared" si="4"/>
        <v>0</v>
      </c>
      <c r="N17" s="1">
        <f t="shared" si="4"/>
        <v>0</v>
      </c>
      <c r="O17" s="1">
        <f t="shared" si="4"/>
        <v>-1206179</v>
      </c>
      <c r="P17" s="1">
        <f t="shared" si="4"/>
        <v>0</v>
      </c>
      <c r="Q17" s="1">
        <f t="shared" si="4"/>
        <v>0</v>
      </c>
      <c r="R17" s="1">
        <f t="shared" si="4"/>
        <v>0</v>
      </c>
      <c r="S17" s="1">
        <f t="shared" si="4"/>
        <v>0</v>
      </c>
      <c r="T17" s="1">
        <f t="shared" si="4"/>
        <v>0</v>
      </c>
      <c r="U17" s="1">
        <f t="shared" si="4"/>
        <v>0</v>
      </c>
      <c r="V17" s="1">
        <f t="shared" si="4"/>
        <v>0</v>
      </c>
      <c r="W17" s="1">
        <f t="shared" si="4"/>
        <v>0</v>
      </c>
      <c r="X17" s="1">
        <f t="shared" si="4"/>
        <v>0</v>
      </c>
      <c r="Y17" s="1">
        <f t="shared" si="4"/>
        <v>0</v>
      </c>
      <c r="Z17" s="1">
        <f t="shared" si="4"/>
        <v>0</v>
      </c>
      <c r="AA17" s="1">
        <f t="shared" si="4"/>
        <v>0</v>
      </c>
      <c r="AB17" s="1">
        <f t="shared" si="4"/>
        <v>0</v>
      </c>
      <c r="AC17" s="1">
        <f t="shared" si="4"/>
        <v>0</v>
      </c>
      <c r="AD17" s="16">
        <f>SUM(AC17)</f>
        <v>0</v>
      </c>
      <c r="AE17" s="1">
        <f>SUM(AE18)</f>
        <v>-1193821</v>
      </c>
    </row>
    <row r="18" hidden="1" outlineLevel="1" customFormat="1">
      <c r="B18" s="13" t="str">
        <f>"3400"&amp;" - "&amp;"Offentlige tilskudd"</f>
        <v>3400 - Offentlige tilskudd</v>
      </c>
      <c r="C18" s="2"/>
      <c r="D18" s="2">
        <v>-1206179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>
        <v>-1206179</v>
      </c>
      <c r="P18" s="2">
        <f>0*(-1)</f>
        <v>0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>
        <f>0*(-1)</f>
        <v>0</v>
      </c>
      <c r="AD18" s="15">
        <f>AC18-O18</f>
        <v>1206179</v>
      </c>
      <c r="AE18" s="17">
        <v>-1193821</v>
      </c>
    </row>
    <row r="19" collapsed="1" customFormat="1">
      <c r="B19" s="14" t="s">
        <v>7</v>
      </c>
      <c r="C19" s="1">
        <f t="shared" si="5" ref="C19:AC19">SUM(0)</f>
        <v>0</v>
      </c>
      <c r="D19" s="1">
        <f t="shared" si="5"/>
        <v>0</v>
      </c>
      <c r="E19" s="1">
        <f t="shared" si="5"/>
        <v>0</v>
      </c>
      <c r="F19" s="1">
        <f t="shared" si="5"/>
        <v>0</v>
      </c>
      <c r="G19" s="1">
        <f t="shared" si="5"/>
        <v>0</v>
      </c>
      <c r="H19" s="1">
        <f t="shared" si="5"/>
        <v>0</v>
      </c>
      <c r="I19" s="1">
        <f t="shared" si="5"/>
        <v>0</v>
      </c>
      <c r="J19" s="1">
        <f t="shared" si="5"/>
        <v>0</v>
      </c>
      <c r="K19" s="1">
        <f t="shared" si="5"/>
        <v>0</v>
      </c>
      <c r="L19" s="1">
        <f t="shared" si="5"/>
        <v>0</v>
      </c>
      <c r="M19" s="1">
        <f t="shared" si="5"/>
        <v>0</v>
      </c>
      <c r="N19" s="1">
        <f t="shared" si="5"/>
        <v>0</v>
      </c>
      <c r="O19" s="1">
        <f t="shared" si="5"/>
        <v>0</v>
      </c>
      <c r="P19" s="1">
        <f t="shared" si="5"/>
        <v>0</v>
      </c>
      <c r="Q19" s="1">
        <f t="shared" si="5"/>
        <v>0</v>
      </c>
      <c r="R19" s="1">
        <f t="shared" si="5"/>
        <v>0</v>
      </c>
      <c r="S19" s="1">
        <f t="shared" si="5"/>
        <v>0</v>
      </c>
      <c r="T19" s="1">
        <f t="shared" si="5"/>
        <v>0</v>
      </c>
      <c r="U19" s="1">
        <f t="shared" si="5"/>
        <v>0</v>
      </c>
      <c r="V19" s="1">
        <f t="shared" si="5"/>
        <v>0</v>
      </c>
      <c r="W19" s="1">
        <f t="shared" si="5"/>
        <v>0</v>
      </c>
      <c r="X19" s="1">
        <f t="shared" si="5"/>
        <v>0</v>
      </c>
      <c r="Y19" s="1">
        <f t="shared" si="5"/>
        <v>0</v>
      </c>
      <c r="Z19" s="1">
        <f t="shared" si="5"/>
        <v>0</v>
      </c>
      <c r="AA19" s="1">
        <f t="shared" si="5"/>
        <v>0</v>
      </c>
      <c r="AB19" s="1">
        <f t="shared" si="5"/>
        <v>0</v>
      </c>
      <c r="AC19" s="1">
        <f t="shared" si="5"/>
        <v>0</v>
      </c>
      <c r="AD19" s="16">
        <f>SUM(AC19)</f>
        <v>0</v>
      </c>
      <c r="AE19" s="1">
        <f>SUM(0)</f>
        <v>0</v>
      </c>
    </row>
    <row r="20" customFormat="1">
      <c r="B20" s="14" t="s">
        <v>11</v>
      </c>
      <c r="C20" s="1">
        <f t="shared" si="6" ref="C20:AC20">SUM(C21:C24)</f>
        <v>0</v>
      </c>
      <c r="D20" s="1">
        <f t="shared" si="6"/>
        <v>-5913</v>
      </c>
      <c r="E20" s="1">
        <f t="shared" si="6"/>
        <v>-482093.38</v>
      </c>
      <c r="F20" s="1">
        <f t="shared" si="6"/>
        <v>-273580.72</v>
      </c>
      <c r="G20" s="1">
        <f t="shared" si="6"/>
        <v>0</v>
      </c>
      <c r="H20" s="1">
        <f t="shared" si="6"/>
        <v>0</v>
      </c>
      <c r="I20" s="1">
        <f t="shared" si="6"/>
        <v>0</v>
      </c>
      <c r="J20" s="1">
        <f t="shared" si="6"/>
        <v>0</v>
      </c>
      <c r="K20" s="1">
        <f t="shared" si="6"/>
        <v>0</v>
      </c>
      <c r="L20" s="1">
        <f t="shared" si="6"/>
        <v>0</v>
      </c>
      <c r="M20" s="1">
        <f t="shared" si="6"/>
        <v>0</v>
      </c>
      <c r="N20" s="1">
        <f t="shared" si="6"/>
        <v>-715781</v>
      </c>
      <c r="O20" s="1">
        <f t="shared" si="6"/>
        <v>-1477368.1</v>
      </c>
      <c r="P20" s="1">
        <f t="shared" si="6"/>
        <v>-1202497</v>
      </c>
      <c r="Q20" s="1">
        <f t="shared" si="6"/>
        <v>1202497</v>
      </c>
      <c r="R20" s="1">
        <f t="shared" si="6"/>
        <v>0</v>
      </c>
      <c r="S20" s="1">
        <f t="shared" si="6"/>
        <v>0</v>
      </c>
      <c r="T20" s="1">
        <f t="shared" si="6"/>
        <v>0</v>
      </c>
      <c r="U20" s="1">
        <f t="shared" si="6"/>
        <v>0</v>
      </c>
      <c r="V20" s="1">
        <f t="shared" si="6"/>
        <v>0</v>
      </c>
      <c r="W20" s="1">
        <f t="shared" si="6"/>
        <v>0</v>
      </c>
      <c r="X20" s="1">
        <f t="shared" si="6"/>
        <v>0</v>
      </c>
      <c r="Y20" s="1">
        <f t="shared" si="6"/>
        <v>0</v>
      </c>
      <c r="Z20" s="1">
        <f t="shared" si="6"/>
        <v>0</v>
      </c>
      <c r="AA20" s="1">
        <f t="shared" si="6"/>
        <v>0</v>
      </c>
      <c r="AB20" s="1">
        <f t="shared" si="6"/>
        <v>0</v>
      </c>
      <c r="AC20" s="1">
        <f t="shared" si="6"/>
        <v>-1202497</v>
      </c>
      <c r="AD20" s="16">
        <f>SUM(AC20)</f>
        <v>-1202497</v>
      </c>
      <c r="AE20" s="1">
        <f>SUM(AE21:AE24)</f>
        <v>0</v>
      </c>
    </row>
    <row r="21" hidden="1" outlineLevel="1" customFormat="1">
      <c r="B21" s="13" t="str">
        <f>"3915"&amp;" - "&amp;"Påmeldingsinntekter arrangementer"</f>
        <v>3915 - Påmeldingsinntekter arrangementer</v>
      </c>
      <c r="C21" s="2"/>
      <c r="D21" s="2"/>
      <c r="E21" s="2">
        <v>-261083.55</v>
      </c>
      <c r="F21" s="2"/>
      <c r="G21" s="2"/>
      <c r="H21" s="2"/>
      <c r="I21" s="2"/>
      <c r="J21" s="2"/>
      <c r="K21" s="2"/>
      <c r="L21" s="2"/>
      <c r="M21" s="2"/>
      <c r="N21" s="2"/>
      <c r="O21" s="2">
        <v>-261083.55</v>
      </c>
      <c r="P21" s="2">
        <f t="shared" si="7" ref="P21:P23">0*(-1)</f>
        <v>0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>
        <f t="shared" si="8" ref="AC21:AC23">0*(-1)</f>
        <v>0</v>
      </c>
      <c r="AD21" s="15">
        <f t="shared" si="9" ref="AD21:AD24">AC21-O21</f>
        <v>261083.55</v>
      </c>
      <c r="AE21" s="17"/>
    </row>
    <row r="22" hidden="1" outlineLevel="1" customFormat="1">
      <c r="B22" s="13" t="str">
        <f>"3940"&amp;" - "&amp;"Billetter arrangementer"</f>
        <v>3940 - Billetter arrangementer</v>
      </c>
      <c r="C22" s="2"/>
      <c r="D22" s="2"/>
      <c r="E22" s="2"/>
      <c r="F22" s="2">
        <v>-260000</v>
      </c>
      <c r="G22" s="2"/>
      <c r="H22" s="2"/>
      <c r="I22" s="2"/>
      <c r="J22" s="2"/>
      <c r="K22" s="2"/>
      <c r="L22" s="2"/>
      <c r="M22" s="2"/>
      <c r="N22" s="2"/>
      <c r="O22" s="2">
        <v>-260000</v>
      </c>
      <c r="P22" s="2">
        <f t="shared" si="7"/>
        <v>0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>
        <f t="shared" si="8"/>
        <v>0</v>
      </c>
      <c r="AD22" s="15">
        <f t="shared" si="9"/>
        <v>260000</v>
      </c>
      <c r="AE22" s="17"/>
    </row>
    <row r="23" hidden="1" outlineLevel="1" customFormat="1">
      <c r="B23" s="13" t="str">
        <f>"3990"&amp;" - "&amp;"Andre inntekter"</f>
        <v>3990 - Andre inntekter</v>
      </c>
      <c r="C23" s="2"/>
      <c r="D23" s="2">
        <v>-5913</v>
      </c>
      <c r="E23" s="2">
        <v>-221009.83</v>
      </c>
      <c r="F23" s="2">
        <v>-13580.72</v>
      </c>
      <c r="G23" s="2"/>
      <c r="H23" s="2"/>
      <c r="I23" s="2"/>
      <c r="J23" s="2"/>
      <c r="K23" s="2"/>
      <c r="L23" s="2"/>
      <c r="M23" s="2">
        <v>0</v>
      </c>
      <c r="N23" s="2">
        <v>-715781</v>
      </c>
      <c r="O23" s="2">
        <v>-956284.55</v>
      </c>
      <c r="P23" s="2">
        <f t="shared" si="7"/>
        <v>0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>
        <f t="shared" si="8"/>
        <v>0</v>
      </c>
      <c r="AD23" s="15">
        <f t="shared" si="9"/>
        <v>956284.55</v>
      </c>
      <c r="AE23" s="17"/>
    </row>
    <row r="24" hidden="1" outlineLevel="1" customFormat="1">
      <c r="B24" s="13" t="str">
        <f>"3999"&amp;" - "&amp;"Budsjetterte inntekter"</f>
        <v>3999 - Budsjetterte inntekter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>
        <f>1202497*(-1)</f>
        <v>-1202497</v>
      </c>
      <c r="Q24" s="2">
        <v>1202497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f>1202497*(-1)</f>
        <v>-1202497</v>
      </c>
      <c r="AD24" s="15">
        <f t="shared" si="9"/>
        <v>-1202497</v>
      </c>
      <c r="AE24" s="17"/>
    </row>
    <row r="25" collapsed="1">
      <c r="B25" s="33" t="s">
        <v>8</v>
      </c>
      <c r="C25" s="7">
        <f t="shared" si="10" ref="C25:AE25">C20+C19+C17+C13</f>
        <v>0</v>
      </c>
      <c r="D25" s="7">
        <f t="shared" si="10"/>
        <v>-1212092</v>
      </c>
      <c r="E25" s="7">
        <f t="shared" si="10"/>
        <v>-482093.38</v>
      </c>
      <c r="F25" s="7">
        <f t="shared" si="10"/>
        <v>-273580.72</v>
      </c>
      <c r="G25" s="7">
        <f t="shared" si="10"/>
        <v>0</v>
      </c>
      <c r="H25" s="7">
        <f t="shared" si="10"/>
        <v>0</v>
      </c>
      <c r="I25" s="7">
        <f t="shared" si="10"/>
        <v>0</v>
      </c>
      <c r="J25" s="7">
        <f t="shared" si="10"/>
        <v>0</v>
      </c>
      <c r="K25" s="7">
        <f t="shared" si="10"/>
        <v>0</v>
      </c>
      <c r="L25" s="7">
        <f t="shared" si="10"/>
        <v>0</v>
      </c>
      <c r="M25" s="7">
        <f t="shared" si="10"/>
        <v>0</v>
      </c>
      <c r="N25" s="7">
        <f t="shared" si="10"/>
        <v>-715781</v>
      </c>
      <c r="O25" s="7">
        <f t="shared" si="10"/>
        <v>-2683547.1</v>
      </c>
      <c r="P25" s="7">
        <f t="shared" si="10"/>
        <v>-1202497</v>
      </c>
      <c r="Q25" s="7">
        <f t="shared" si="10"/>
        <v>1202497</v>
      </c>
      <c r="R25" s="7">
        <f t="shared" si="10"/>
        <v>0</v>
      </c>
      <c r="S25" s="7">
        <f t="shared" si="10"/>
        <v>0</v>
      </c>
      <c r="T25" s="7">
        <f t="shared" si="10"/>
        <v>0</v>
      </c>
      <c r="U25" s="7">
        <f t="shared" si="10"/>
        <v>0</v>
      </c>
      <c r="V25" s="7">
        <f t="shared" si="10"/>
        <v>0</v>
      </c>
      <c r="W25" s="7">
        <f t="shared" si="10"/>
        <v>0</v>
      </c>
      <c r="X25" s="7">
        <f t="shared" si="10"/>
        <v>0</v>
      </c>
      <c r="Y25" s="7">
        <f t="shared" si="10"/>
        <v>0</v>
      </c>
      <c r="Z25" s="7">
        <f t="shared" si="10"/>
        <v>0</v>
      </c>
      <c r="AA25" s="7">
        <f t="shared" si="10"/>
        <v>0</v>
      </c>
      <c r="AB25" s="7">
        <f t="shared" si="10"/>
        <v>0</v>
      </c>
      <c r="AC25" s="7">
        <f t="shared" si="10"/>
        <v>-1202497</v>
      </c>
      <c r="AD25" s="23">
        <f t="shared" si="10"/>
        <v>-1202497</v>
      </c>
      <c r="AE25" s="7">
        <f t="shared" si="10"/>
        <v>-1221821</v>
      </c>
      <c r="AF25" s="18"/>
    </row>
    <row r="26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E26" s="21"/>
    </row>
    <row r="27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E27" s="21"/>
    </row>
    <row r="28" ht="21" customFormat="1">
      <c r="B28" s="20" t="s">
        <v>22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22"/>
      <c r="AE28" s="6"/>
    </row>
    <row r="29" customFormat="1">
      <c r="B29" s="14" t="s">
        <v>21</v>
      </c>
      <c r="C29" s="1">
        <f t="shared" si="11" ref="C29:AC29">SUM(C30:C55)</f>
        <v>0</v>
      </c>
      <c r="D29" s="1">
        <f t="shared" si="11"/>
        <v>0</v>
      </c>
      <c r="E29" s="1">
        <f t="shared" si="11"/>
        <v>0</v>
      </c>
      <c r="F29" s="1">
        <f t="shared" si="11"/>
        <v>0</v>
      </c>
      <c r="G29" s="1">
        <f t="shared" si="11"/>
        <v>0</v>
      </c>
      <c r="H29" s="1">
        <f t="shared" si="11"/>
        <v>0</v>
      </c>
      <c r="I29" s="1">
        <f t="shared" si="11"/>
        <v>0</v>
      </c>
      <c r="J29" s="1">
        <f t="shared" si="11"/>
        <v>0</v>
      </c>
      <c r="K29" s="1">
        <f t="shared" si="11"/>
        <v>0</v>
      </c>
      <c r="L29" s="1">
        <f t="shared" si="11"/>
        <v>0</v>
      </c>
      <c r="M29" s="1">
        <f t="shared" si="11"/>
        <v>0</v>
      </c>
      <c r="N29" s="1">
        <f t="shared" si="11"/>
        <v>0</v>
      </c>
      <c r="O29" s="1">
        <f t="shared" si="11"/>
        <v>0</v>
      </c>
      <c r="P29" s="1">
        <f t="shared" si="11"/>
        <v>0</v>
      </c>
      <c r="Q29" s="1">
        <f t="shared" si="11"/>
        <v>0</v>
      </c>
      <c r="R29" s="1">
        <f t="shared" si="11"/>
        <v>0</v>
      </c>
      <c r="S29" s="1">
        <f t="shared" si="11"/>
        <v>0</v>
      </c>
      <c r="T29" s="1">
        <f t="shared" si="11"/>
        <v>0</v>
      </c>
      <c r="U29" s="1">
        <f t="shared" si="11"/>
        <v>0</v>
      </c>
      <c r="V29" s="1">
        <f t="shared" si="11"/>
        <v>0</v>
      </c>
      <c r="W29" s="1">
        <f t="shared" si="11"/>
        <v>0</v>
      </c>
      <c r="X29" s="1">
        <f t="shared" si="11"/>
        <v>0</v>
      </c>
      <c r="Y29" s="1">
        <f t="shared" si="11"/>
        <v>0</v>
      </c>
      <c r="Z29" s="1">
        <f t="shared" si="11"/>
        <v>0</v>
      </c>
      <c r="AA29" s="1">
        <f t="shared" si="11"/>
        <v>0</v>
      </c>
      <c r="AB29" s="1">
        <f t="shared" si="11"/>
        <v>0</v>
      </c>
      <c r="AC29" s="1">
        <f t="shared" si="11"/>
        <v>0</v>
      </c>
      <c r="AD29" s="16">
        <f>SUM(AC29)</f>
        <v>0</v>
      </c>
      <c r="AE29" s="1">
        <f>SUM(AE30:AE55)</f>
        <v>0</v>
      </c>
    </row>
    <row r="30" hidden="1" outlineLevel="1" customFormat="1">
      <c r="B30" s="13" t="str">
        <f>"4000"&amp;" - "&amp;"Innkjøp råvarer og halvfabrikata"</f>
        <v>4000 - Innkjøp råvarer og halvfabrikata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15">
        <f t="shared" si="12" ref="AD30:AD55">AC30-O30</f>
        <v>0</v>
      </c>
      <c r="AE30" s="17"/>
    </row>
    <row r="31" hidden="1" outlineLevel="1" customFormat="1">
      <c r="B31" s="13" t="str">
        <f>"4010"&amp;" - "&amp;"Innkjøp kioskvarer"</f>
        <v>4010 - Innkjøp kioskvarer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15">
        <f t="shared" si="12"/>
        <v>0</v>
      </c>
      <c r="AE31" s="17"/>
    </row>
    <row r="32" hidden="1" outlineLevel="1" customFormat="1">
      <c r="B32" s="13" t="str">
        <f>"4060"&amp;" - "&amp;"Frakt, toll og spedisjon (tolldeklarasjon)"</f>
        <v>4060 - Frakt, toll og spedisjon (tolldeklarasjon)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15">
        <f t="shared" si="12"/>
        <v>0</v>
      </c>
      <c r="AE32" s="17"/>
    </row>
    <row r="33" hidden="1" outlineLevel="1" customFormat="1">
      <c r="B33" s="13" t="str">
        <f>"4070"&amp;" - "&amp;"Innkjøpsprisreduksjon råvarer og halvfabrikata"</f>
        <v>4070 - Innkjøpsprisreduksjon råvarer og halvfabrikata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15">
        <f t="shared" si="12"/>
        <v>0</v>
      </c>
      <c r="AE33" s="17"/>
    </row>
    <row r="34" hidden="1" outlineLevel="1" customFormat="1">
      <c r="B34" s="13" t="str">
        <f>"4090"&amp;" - "&amp;"Beholdningsendringer råvarer og halvfabrikata"</f>
        <v>4090 - Beholdningsendringer råvarer og halvfabrikata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15">
        <f t="shared" si="12"/>
        <v>0</v>
      </c>
      <c r="AE34" s="17"/>
    </row>
    <row r="35" hidden="1" outlineLevel="1" customFormat="1">
      <c r="B35" s="13" t="str">
        <f>"4100"&amp;" - "&amp;"Innkjøp varer under tilvirkning"</f>
        <v>4100 - Innkjøp varer under tilvirkning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15">
        <f t="shared" si="12"/>
        <v>0</v>
      </c>
      <c r="AE35" s="17"/>
    </row>
    <row r="36" hidden="1" outlineLevel="1" customFormat="1">
      <c r="B36" s="13" t="str">
        <f>"4160"&amp;" - "&amp;"Frakt, toll og spedisjon varer under tilvirkning"</f>
        <v>4160 - Frakt, toll og spedisjon varer under tilvirkning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15">
        <f t="shared" si="12"/>
        <v>0</v>
      </c>
      <c r="AE36" s="17"/>
    </row>
    <row r="37" hidden="1" outlineLevel="1" customFormat="1">
      <c r="B37" s="13" t="str">
        <f>"4170"&amp;" - "&amp;"Innkjøpsprisreduksjon varer under tilvirkning"</f>
        <v>4170 - Innkjøpsprisreduksjon varer under tilvirkning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15">
        <f t="shared" si="12"/>
        <v>0</v>
      </c>
      <c r="AE37" s="17"/>
    </row>
    <row r="38" hidden="1" outlineLevel="1" customFormat="1">
      <c r="B38" s="13" t="str">
        <f>"4190"&amp;" - "&amp;"Beholdningsendringer varer under tilvirkning"</f>
        <v>4190 - Beholdningsendringer varer under tilvirkning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15">
        <f t="shared" si="12"/>
        <v>0</v>
      </c>
      <c r="AE38" s="17"/>
    </row>
    <row r="39" hidden="1" outlineLevel="1" customFormat="1">
      <c r="B39" s="13" t="str">
        <f>"4200"&amp;" - "&amp;"Innkjøp ferdig egentilv. varer"</f>
        <v>4200 - Innkjøp ferdig egentilv. varer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15">
        <f t="shared" si="12"/>
        <v>0</v>
      </c>
      <c r="AE39" s="17"/>
    </row>
    <row r="40" hidden="1" outlineLevel="1" customFormat="1">
      <c r="B40" s="13" t="str">
        <f>"4260"&amp;" - "&amp;"Frakt, toll og spedisjon ferdig egentilv. varer"</f>
        <v>4260 - Frakt, toll og spedisjon ferdig egentilv. varer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15">
        <f t="shared" si="12"/>
        <v>0</v>
      </c>
      <c r="AE40" s="17"/>
    </row>
    <row r="41" hidden="1" outlineLevel="1" customFormat="1">
      <c r="B41" s="13" t="str">
        <f>"4270"&amp;" - "&amp;"Innkjøpsprisreduksjon ferdig egentilv. varer"</f>
        <v>4270 - Innkjøpsprisreduksjon ferdig egentilv. varer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15">
        <f t="shared" si="12"/>
        <v>0</v>
      </c>
      <c r="AE41" s="17"/>
    </row>
    <row r="42" hidden="1" outlineLevel="1" customFormat="1">
      <c r="B42" s="13" t="str">
        <f>"4290"&amp;" - "&amp;"Beholdningsendringer ferdig egentilv. varer"</f>
        <v>4290 - Beholdningsendringer ferdig egentilv. varer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15">
        <f t="shared" si="12"/>
        <v>0</v>
      </c>
      <c r="AE42" s="17"/>
    </row>
    <row r="43" hidden="1" outlineLevel="1" customFormat="1">
      <c r="B43" s="13" t="str">
        <f>"4300"&amp;" - "&amp;"Innkj. varer for videresalg"</f>
        <v>4300 - Innkj. varer for videresalg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15">
        <f t="shared" si="12"/>
        <v>0</v>
      </c>
      <c r="AE43" s="17"/>
    </row>
    <row r="44" hidden="1" outlineLevel="1" customFormat="1">
      <c r="B44" s="13" t="str">
        <f>"4330"&amp;" - "&amp;"Innkj. varer for videresalg, middels sats"</f>
        <v>4330 - Innkj. varer for videresalg, middels sats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15">
        <f t="shared" si="12"/>
        <v>0</v>
      </c>
      <c r="AE44" s="17"/>
    </row>
    <row r="45" hidden="1" outlineLevel="1" customFormat="1">
      <c r="B45" s="13" t="str">
        <f>"4360"&amp;" - "&amp;"Frakt, toll og spedisjon varer for videresalg"</f>
        <v>4360 - Frakt, toll og spedisjon varer for videresalg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15">
        <f t="shared" si="12"/>
        <v>0</v>
      </c>
      <c r="AE45" s="17"/>
    </row>
    <row r="46" hidden="1" outlineLevel="1" customFormat="1">
      <c r="B46" s="13" t="str">
        <f>"4370"&amp;" - "&amp;"Innkjøpsprisreduksjon varer for videresalg"</f>
        <v>4370 - Innkjøpsprisreduksjon varer for videresalg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15">
        <f t="shared" si="12"/>
        <v>0</v>
      </c>
      <c r="AE46" s="17"/>
    </row>
    <row r="47" hidden="1" outlineLevel="1" customFormat="1">
      <c r="B47" s="13" t="str">
        <f>"4390"&amp;" - "&amp;"Beholdningsendring varer for videresalg"</f>
        <v>4390 - Beholdningsendring varer for videresalg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15">
        <f t="shared" si="12"/>
        <v>0</v>
      </c>
      <c r="AE47" s="17"/>
    </row>
    <row r="48" hidden="1" outlineLevel="1" customFormat="1">
      <c r="B48" s="13" t="str">
        <f>"4410"&amp;" - "&amp;"Varekost ved salg"</f>
        <v>4410 - Varekost ved salg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15">
        <f t="shared" si="12"/>
        <v>0</v>
      </c>
      <c r="AE48" s="17"/>
    </row>
    <row r="49" hidden="1" outlineLevel="1" customFormat="1">
      <c r="B49" s="13" t="str">
        <f>"4490"&amp;" - "&amp;"Motkonto varekost ved salg"</f>
        <v>4490 - Motkonto varekost ved salg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15">
        <f t="shared" si="12"/>
        <v>0</v>
      </c>
      <c r="AE49" s="17"/>
    </row>
    <row r="50" hidden="1" outlineLevel="1" customFormat="1">
      <c r="B50" s="13" t="str">
        <f>"4500"&amp;" - "&amp;"Fremmedytelse og underentreprise"</f>
        <v>4500 - Fremmedytelse og underentreprise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15">
        <f t="shared" si="12"/>
        <v>0</v>
      </c>
      <c r="AE50" s="17"/>
    </row>
    <row r="51" hidden="1" outlineLevel="1" customFormat="1">
      <c r="B51" s="13" t="str">
        <f>"4700"&amp;" - "&amp;"Beregnet prosjekt lønnskostnader"</f>
        <v>4700 - Beregnet prosjekt lønnskostnader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15">
        <f t="shared" si="12"/>
        <v>0</v>
      </c>
      <c r="AE51" s="17"/>
    </row>
    <row r="52" hidden="1" outlineLevel="1" customFormat="1">
      <c r="B52" s="13" t="str">
        <f>"4710"&amp;" - "&amp;"Reise kostnader"</f>
        <v>4710 - Reise kostnader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15">
        <f t="shared" si="12"/>
        <v>0</v>
      </c>
      <c r="AE52" s="17"/>
    </row>
    <row r="53" hidden="1" outlineLevel="1" customFormat="1">
      <c r="B53" s="13" t="str">
        <f>"4790"&amp;" - "&amp;"Motkonto ansatt kostnader"</f>
        <v>4790 - Motkonto ansatt kostnader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15">
        <f t="shared" si="12"/>
        <v>0</v>
      </c>
      <c r="AE53" s="17"/>
    </row>
    <row r="54" hidden="1" outlineLevel="1" customFormat="1">
      <c r="B54" s="13" t="str">
        <f>"4900"&amp;" - "&amp;"Annen periodisering"</f>
        <v>4900 - Annen periodisering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15">
        <f t="shared" si="12"/>
        <v>0</v>
      </c>
      <c r="AE54" s="17"/>
    </row>
    <row r="55" hidden="1" outlineLevel="1" customFormat="1">
      <c r="B55" s="13" t="str">
        <f>"4990"&amp;" - "&amp;"Beholdningsendring"</f>
        <v>4990 - Beholdningsendring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15">
        <f t="shared" si="12"/>
        <v>0</v>
      </c>
      <c r="AE55" s="17"/>
    </row>
    <row r="56" collapsed="1" customFormat="1">
      <c r="B56" s="14" t="s">
        <v>3</v>
      </c>
      <c r="C56" s="1">
        <f t="shared" si="13" ref="C56:AC56">SUM(C57:C67)</f>
        <v>33864.06</v>
      </c>
      <c r="D56" s="1">
        <f t="shared" si="13"/>
        <v>33864.06</v>
      </c>
      <c r="E56" s="1">
        <f t="shared" si="13"/>
        <v>34249.79</v>
      </c>
      <c r="F56" s="1">
        <f t="shared" si="13"/>
        <v>5831</v>
      </c>
      <c r="G56" s="1">
        <f t="shared" si="13"/>
        <v>0</v>
      </c>
      <c r="H56" s="1">
        <f t="shared" si="13"/>
        <v>0</v>
      </c>
      <c r="I56" s="1">
        <f t="shared" si="13"/>
        <v>0</v>
      </c>
      <c r="J56" s="1">
        <f t="shared" si="13"/>
        <v>0</v>
      </c>
      <c r="K56" s="1">
        <f t="shared" si="13"/>
        <v>0</v>
      </c>
      <c r="L56" s="1">
        <f t="shared" si="13"/>
        <v>0</v>
      </c>
      <c r="M56" s="1">
        <f t="shared" si="13"/>
        <v>6110.05</v>
      </c>
      <c r="N56" s="1">
        <f t="shared" si="13"/>
        <v>19153.89</v>
      </c>
      <c r="O56" s="1">
        <f t="shared" si="13"/>
        <v>133072.85</v>
      </c>
      <c r="P56" s="1">
        <f t="shared" si="13"/>
        <v>0</v>
      </c>
      <c r="Q56" s="1">
        <f t="shared" si="13"/>
        <v>0</v>
      </c>
      <c r="R56" s="1">
        <f t="shared" si="13"/>
        <v>0</v>
      </c>
      <c r="S56" s="1">
        <f t="shared" si="13"/>
        <v>0</v>
      </c>
      <c r="T56" s="1">
        <f t="shared" si="13"/>
        <v>0</v>
      </c>
      <c r="U56" s="1">
        <f t="shared" si="13"/>
        <v>0</v>
      </c>
      <c r="V56" s="1">
        <f t="shared" si="13"/>
        <v>0</v>
      </c>
      <c r="W56" s="1">
        <f t="shared" si="13"/>
        <v>0</v>
      </c>
      <c r="X56" s="1">
        <f t="shared" si="13"/>
        <v>0</v>
      </c>
      <c r="Y56" s="1">
        <f t="shared" si="13"/>
        <v>0</v>
      </c>
      <c r="Z56" s="1">
        <f t="shared" si="13"/>
        <v>0</v>
      </c>
      <c r="AA56" s="1">
        <f t="shared" si="13"/>
        <v>0</v>
      </c>
      <c r="AB56" s="1">
        <f t="shared" si="13"/>
        <v>0</v>
      </c>
      <c r="AC56" s="1">
        <f t="shared" si="13"/>
        <v>0</v>
      </c>
      <c r="AD56" s="16">
        <f>SUM(AC56)</f>
        <v>0</v>
      </c>
      <c r="AE56" s="1">
        <f>SUM(AE57:AE67)</f>
        <v>471855.7200000001</v>
      </c>
    </row>
    <row r="57" hidden="1" outlineLevel="1" customFormat="1">
      <c r="B57" s="13" t="str">
        <f>"5000"&amp;" - "&amp;"Lønn til ansatte"</f>
        <v>5000 - Lønn til ansatte</v>
      </c>
      <c r="C57" s="2">
        <v>27083.34</v>
      </c>
      <c r="D57" s="2">
        <v>27083.34</v>
      </c>
      <c r="E57" s="2">
        <v>27083.34</v>
      </c>
      <c r="F57" s="2"/>
      <c r="G57" s="2"/>
      <c r="H57" s="2"/>
      <c r="I57" s="2"/>
      <c r="J57" s="2"/>
      <c r="K57" s="2"/>
      <c r="L57" s="2"/>
      <c r="M57" s="2"/>
      <c r="N57" s="2"/>
      <c r="O57" s="2">
        <v>81250.02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15">
        <f t="shared" si="14" ref="AD57:AD67">AC57-O57</f>
        <v>-81250.02</v>
      </c>
      <c r="AE57" s="17">
        <v>360419.59</v>
      </c>
    </row>
    <row r="58" hidden="1" outlineLevel="1" customFormat="1">
      <c r="B58" s="13" t="str">
        <f>"5004"&amp;" - "&amp;"Honorar inkl ferepenger"</f>
        <v>5004 - Honorar inkl ferepenger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>
        <v>5355</v>
      </c>
      <c r="N58" s="2">
        <v>16740</v>
      </c>
      <c r="O58" s="2">
        <v>22095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15">
        <f t="shared" si="14"/>
        <v>-22095</v>
      </c>
      <c r="AE58" s="17"/>
    </row>
    <row r="59" hidden="1" outlineLevel="1" customFormat="1">
      <c r="B59" s="13" t="str">
        <f>"5180"&amp;" - "&amp;"Feriepenger beregnet"</f>
        <v>5180 - Feriepenger beregnet</v>
      </c>
      <c r="C59" s="2">
        <v>3250</v>
      </c>
      <c r="D59" s="2">
        <v>3250</v>
      </c>
      <c r="E59" s="2">
        <v>3250</v>
      </c>
      <c r="F59" s="2"/>
      <c r="G59" s="2"/>
      <c r="H59" s="2"/>
      <c r="I59" s="2"/>
      <c r="J59" s="2"/>
      <c r="K59" s="2"/>
      <c r="L59" s="2"/>
      <c r="M59" s="2"/>
      <c r="N59" s="2"/>
      <c r="O59" s="2">
        <v>9750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15">
        <f t="shared" si="14"/>
        <v>-9750</v>
      </c>
      <c r="AE59" s="17">
        <v>43250.34</v>
      </c>
    </row>
    <row r="60" hidden="1" outlineLevel="1" customFormat="1">
      <c r="B60" s="13" t="str">
        <f>"5182"&amp;" - "&amp;"Arb.avg. påløpne feriepenger"</f>
        <v>5182 - Arb.avg. påløpne feriepenger</v>
      </c>
      <c r="C60" s="2">
        <v>458.25</v>
      </c>
      <c r="D60" s="2">
        <v>458.25</v>
      </c>
      <c r="E60" s="2">
        <v>458.25</v>
      </c>
      <c r="F60" s="2"/>
      <c r="G60" s="2"/>
      <c r="H60" s="2"/>
      <c r="I60" s="2"/>
      <c r="J60" s="2"/>
      <c r="K60" s="2"/>
      <c r="L60" s="2"/>
      <c r="M60" s="2"/>
      <c r="N60" s="2"/>
      <c r="O60" s="2">
        <v>1374.75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15">
        <f t="shared" si="14"/>
        <v>-1374.75</v>
      </c>
      <c r="AE60" s="17">
        <v>6098.31</v>
      </c>
    </row>
    <row r="61" hidden="1" outlineLevel="1" customFormat="1">
      <c r="B61" s="13" t="str">
        <f>"5210"&amp;" - "&amp;"Fri telefon"</f>
        <v>5210 - Fri telefon</v>
      </c>
      <c r="C61" s="2"/>
      <c r="D61" s="2"/>
      <c r="E61" s="2">
        <v>385.73</v>
      </c>
      <c r="F61" s="2">
        <v>5831</v>
      </c>
      <c r="G61" s="2"/>
      <c r="H61" s="2"/>
      <c r="I61" s="2"/>
      <c r="J61" s="2"/>
      <c r="K61" s="2"/>
      <c r="L61" s="2"/>
      <c r="M61" s="2"/>
      <c r="N61" s="2"/>
      <c r="O61" s="2">
        <v>6216.73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15">
        <f t="shared" si="14"/>
        <v>-6216.73</v>
      </c>
      <c r="AE61" s="17">
        <v>3639</v>
      </c>
    </row>
    <row r="62" hidden="1" outlineLevel="1" customFormat="1">
      <c r="B62" s="13" t="str">
        <f>"5212"&amp;" - "&amp;"Skattepliktig fordel av tlf og bredbånd"</f>
        <v>5212 - Skattepliktig fordel av tlf og bredbånd</v>
      </c>
      <c r="C62" s="2">
        <v>366</v>
      </c>
      <c r="D62" s="2">
        <v>366</v>
      </c>
      <c r="E62" s="2">
        <v>366</v>
      </c>
      <c r="F62" s="2"/>
      <c r="G62" s="2"/>
      <c r="H62" s="2"/>
      <c r="I62" s="2"/>
      <c r="J62" s="2"/>
      <c r="K62" s="2"/>
      <c r="L62" s="2"/>
      <c r="M62" s="2"/>
      <c r="N62" s="2"/>
      <c r="O62" s="2">
        <v>1098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15">
        <f t="shared" si="14"/>
        <v>-1098</v>
      </c>
      <c r="AE62" s="17">
        <v>4392</v>
      </c>
    </row>
    <row r="63" hidden="1" outlineLevel="1" customFormat="1">
      <c r="B63" s="13" t="str">
        <f>"5297"&amp;" - "&amp;"Motkonto fri EK (tlf/bredbånd)"</f>
        <v>5297 - Motkonto fri EK (tlf/bredbånd)</v>
      </c>
      <c r="C63" s="2">
        <v>-366</v>
      </c>
      <c r="D63" s="2">
        <v>-366</v>
      </c>
      <c r="E63" s="2">
        <v>-366</v>
      </c>
      <c r="F63" s="2"/>
      <c r="G63" s="2"/>
      <c r="H63" s="2"/>
      <c r="I63" s="2"/>
      <c r="J63" s="2"/>
      <c r="K63" s="2"/>
      <c r="L63" s="2"/>
      <c r="M63" s="2"/>
      <c r="N63" s="2"/>
      <c r="O63" s="2">
        <v>-1098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15">
        <f t="shared" si="14"/>
        <v>1098</v>
      </c>
      <c r="AE63" s="17">
        <v>-4392</v>
      </c>
    </row>
    <row r="64" hidden="1" outlineLevel="1" customFormat="1">
      <c r="B64" s="13" t="str">
        <f>"5400"&amp;" - "&amp;"Arbeidsgiveravgift"</f>
        <v>5400 - Arbeidsgiveravgift</v>
      </c>
      <c r="C64" s="2">
        <v>3884.97</v>
      </c>
      <c r="D64" s="2">
        <v>3884.97</v>
      </c>
      <c r="E64" s="2">
        <v>3884.97</v>
      </c>
      <c r="F64" s="2"/>
      <c r="G64" s="2"/>
      <c r="H64" s="2"/>
      <c r="I64" s="2"/>
      <c r="J64" s="2"/>
      <c r="K64" s="2"/>
      <c r="L64" s="2"/>
      <c r="M64" s="2">
        <v>755.05</v>
      </c>
      <c r="N64" s="2">
        <v>2413.89</v>
      </c>
      <c r="O64" s="2">
        <v>14823.85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15">
        <f t="shared" si="14"/>
        <v>-14823.85</v>
      </c>
      <c r="AE64" s="17">
        <v>51438.45</v>
      </c>
    </row>
    <row r="65" hidden="1" outlineLevel="1" customFormat="1">
      <c r="B65" s="13" t="str">
        <f>"5420"&amp;" - "&amp;"Pensjoner, NHO sliter m.m (Regnskap)"</f>
        <v>5420 - Pensjoner, NHO sliter m.m (Regnskap)</v>
      </c>
      <c r="C65" s="2">
        <v>-812.5</v>
      </c>
      <c r="D65" s="2">
        <v>-812.5</v>
      </c>
      <c r="E65" s="2">
        <v>-812.5</v>
      </c>
      <c r="F65" s="2"/>
      <c r="G65" s="2"/>
      <c r="H65" s="2"/>
      <c r="I65" s="2"/>
      <c r="J65" s="2"/>
      <c r="K65" s="2"/>
      <c r="L65" s="2"/>
      <c r="M65" s="2"/>
      <c r="N65" s="2"/>
      <c r="O65" s="2">
        <v>-2437.5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15">
        <f t="shared" si="14"/>
        <v>2437.5</v>
      </c>
      <c r="AE65" s="17">
        <v>7010.03</v>
      </c>
    </row>
    <row r="66" hidden="1" outlineLevel="1" customFormat="1">
      <c r="B66" s="13" t="str">
        <f>"5931"&amp;" - "&amp;"Innberetn.pl. forsikring (lønn)"</f>
        <v>5931 - Innberetn.pl. forsikring (lønn)</v>
      </c>
      <c r="C66" s="2">
        <v>103.66</v>
      </c>
      <c r="D66" s="2">
        <v>103.66</v>
      </c>
      <c r="E66" s="2">
        <v>103.66</v>
      </c>
      <c r="F66" s="2"/>
      <c r="G66" s="2"/>
      <c r="H66" s="2"/>
      <c r="I66" s="2"/>
      <c r="J66" s="2"/>
      <c r="K66" s="2"/>
      <c r="L66" s="2"/>
      <c r="M66" s="2"/>
      <c r="N66" s="2">
        <v>379.77</v>
      </c>
      <c r="O66" s="2">
        <v>690.75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15">
        <f t="shared" si="14"/>
        <v>-690.75</v>
      </c>
      <c r="AE66" s="17">
        <v>0</v>
      </c>
    </row>
    <row r="67" hidden="1" outlineLevel="1" customFormat="1">
      <c r="B67" s="13" t="str">
        <f>"5999"&amp;" - "&amp;"Motkonto Innberetn.pl. forsikringer (lønn)"</f>
        <v>5999 - Motkonto Innberetn.pl. forsikringer (lønn)</v>
      </c>
      <c r="C67" s="2">
        <v>-103.66</v>
      </c>
      <c r="D67" s="2">
        <v>-103.66</v>
      </c>
      <c r="E67" s="2">
        <v>-103.66</v>
      </c>
      <c r="F67" s="2"/>
      <c r="G67" s="2"/>
      <c r="H67" s="2"/>
      <c r="I67" s="2"/>
      <c r="J67" s="2"/>
      <c r="K67" s="2"/>
      <c r="L67" s="2"/>
      <c r="M67" s="2"/>
      <c r="N67" s="2">
        <v>-379.77</v>
      </c>
      <c r="O67" s="2">
        <v>-690.75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15">
        <f t="shared" si="14"/>
        <v>690.75</v>
      </c>
      <c r="AE67" s="17">
        <v>0</v>
      </c>
    </row>
    <row r="68" collapsed="1" customFormat="1">
      <c r="B68" s="14" t="s">
        <v>9</v>
      </c>
      <c r="C68" s="1">
        <f t="shared" si="15" ref="C68:AC68">SUM(C69:C84)</f>
        <v>211707.5</v>
      </c>
      <c r="D68" s="1">
        <f t="shared" si="15"/>
        <v>476474.17</v>
      </c>
      <c r="E68" s="1">
        <f t="shared" si="15"/>
        <v>692634.1</v>
      </c>
      <c r="F68" s="1">
        <f t="shared" si="15"/>
        <v>15726.6</v>
      </c>
      <c r="G68" s="1">
        <f t="shared" si="15"/>
        <v>50151.72</v>
      </c>
      <c r="H68" s="1">
        <f t="shared" si="15"/>
        <v>0</v>
      </c>
      <c r="I68" s="1">
        <f t="shared" si="15"/>
        <v>7075.22</v>
      </c>
      <c r="J68" s="1">
        <f t="shared" si="15"/>
        <v>0</v>
      </c>
      <c r="K68" s="1">
        <f t="shared" si="15"/>
        <v>0</v>
      </c>
      <c r="L68" s="1">
        <f t="shared" si="15"/>
        <v>0</v>
      </c>
      <c r="M68" s="1">
        <f t="shared" si="15"/>
        <v>180580</v>
      </c>
      <c r="N68" s="1">
        <f t="shared" si="15"/>
        <v>504843.75</v>
      </c>
      <c r="O68" s="1">
        <f t="shared" si="15"/>
        <v>2139193.06</v>
      </c>
      <c r="P68" s="1">
        <f t="shared" si="15"/>
        <v>0</v>
      </c>
      <c r="Q68" s="1">
        <f t="shared" si="15"/>
        <v>0</v>
      </c>
      <c r="R68" s="1">
        <f t="shared" si="15"/>
        <v>0</v>
      </c>
      <c r="S68" s="1">
        <f t="shared" si="15"/>
        <v>0</v>
      </c>
      <c r="T68" s="1">
        <f t="shared" si="15"/>
        <v>0</v>
      </c>
      <c r="U68" s="1">
        <f t="shared" si="15"/>
        <v>0</v>
      </c>
      <c r="V68" s="1">
        <f t="shared" si="15"/>
        <v>0</v>
      </c>
      <c r="W68" s="1">
        <f t="shared" si="15"/>
        <v>0</v>
      </c>
      <c r="X68" s="1">
        <f t="shared" si="15"/>
        <v>0</v>
      </c>
      <c r="Y68" s="1">
        <f t="shared" si="15"/>
        <v>0</v>
      </c>
      <c r="Z68" s="1">
        <f t="shared" si="15"/>
        <v>0</v>
      </c>
      <c r="AA68" s="1">
        <f t="shared" si="15"/>
        <v>0</v>
      </c>
      <c r="AB68" s="1">
        <f t="shared" si="15"/>
        <v>0</v>
      </c>
      <c r="AC68" s="1">
        <f t="shared" si="15"/>
        <v>0</v>
      </c>
      <c r="AD68" s="16">
        <f>SUM(AC68)</f>
        <v>0</v>
      </c>
      <c r="AE68" s="1">
        <f>SUM(AE69:AE84)</f>
        <v>614350.54</v>
      </c>
    </row>
    <row r="69" hidden="1" outlineLevel="1" customFormat="1">
      <c r="B69" s="13" t="str">
        <f>"6100"&amp;" - "&amp;"Frakt, transport, forsikring v/varefors"</f>
        <v>6100 - Frakt, transport, forsikring v/varefors</v>
      </c>
      <c r="C69" s="2"/>
      <c r="D69" s="2"/>
      <c r="E69" s="2"/>
      <c r="F69" s="2"/>
      <c r="G69" s="2">
        <v>47651.72</v>
      </c>
      <c r="H69" s="2"/>
      <c r="I69" s="2"/>
      <c r="J69" s="2"/>
      <c r="K69" s="2"/>
      <c r="L69" s="2"/>
      <c r="M69" s="2"/>
      <c r="N69" s="2"/>
      <c r="O69" s="2">
        <v>47651.72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15">
        <f t="shared" si="16" ref="AD69:AD84">AC69-O69</f>
        <v>-47651.72</v>
      </c>
      <c r="AE69" s="17"/>
    </row>
    <row r="70" hidden="1" outlineLevel="1" customFormat="1">
      <c r="B70" s="13" t="str">
        <f>"6300"&amp;" - "&amp;"Leie lokaler"</f>
        <v>6300 - Leie lokaler</v>
      </c>
      <c r="C70" s="2">
        <v>40000</v>
      </c>
      <c r="D70" s="2"/>
      <c r="E70" s="2">
        <v>30245</v>
      </c>
      <c r="F70" s="2"/>
      <c r="G70" s="2"/>
      <c r="H70" s="2"/>
      <c r="I70" s="2"/>
      <c r="J70" s="2"/>
      <c r="K70" s="2"/>
      <c r="L70" s="2"/>
      <c r="M70" s="2"/>
      <c r="N70" s="2"/>
      <c r="O70" s="2">
        <v>70245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15">
        <f t="shared" si="16"/>
        <v>-70245</v>
      </c>
      <c r="AE70" s="17"/>
    </row>
    <row r="71" hidden="1" outlineLevel="1" customFormat="1">
      <c r="B71" s="13" t="str">
        <f>"6310"&amp;" - "&amp;"Leie lokaler til idrettsaktivitet"</f>
        <v>6310 - Leie lokaler til idrettsaktivitet</v>
      </c>
      <c r="C71" s="2"/>
      <c r="D71" s="2">
        <v>55200.8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>
        <v>55200.8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15">
        <f t="shared" si="16"/>
        <v>-55200.8</v>
      </c>
      <c r="AE71" s="17"/>
    </row>
    <row r="72" hidden="1" outlineLevel="1" customFormat="1">
      <c r="B72" s="13" t="str">
        <f>"6340"&amp;" - "&amp;"Lys, varme"</f>
        <v>6340 - Lys, varme</v>
      </c>
      <c r="C72" s="2"/>
      <c r="D72" s="2"/>
      <c r="E72" s="2">
        <v>22470.69</v>
      </c>
      <c r="F72" s="2"/>
      <c r="G72" s="2"/>
      <c r="H72" s="2"/>
      <c r="I72" s="2"/>
      <c r="J72" s="2"/>
      <c r="K72" s="2"/>
      <c r="L72" s="2"/>
      <c r="M72" s="2"/>
      <c r="N72" s="2"/>
      <c r="O72" s="2">
        <v>22470.69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15">
        <f t="shared" si="16"/>
        <v>-22470.69</v>
      </c>
      <c r="AE72" s="17"/>
    </row>
    <row r="73" hidden="1" outlineLevel="1" customFormat="1">
      <c r="B73" s="13" t="str">
        <f>"6400"&amp;" - "&amp;"Leie maskiner"</f>
        <v>6400 - Leie maskiner</v>
      </c>
      <c r="C73" s="2"/>
      <c r="D73" s="2"/>
      <c r="E73" s="2">
        <v>7275</v>
      </c>
      <c r="F73" s="2"/>
      <c r="G73" s="2"/>
      <c r="H73" s="2"/>
      <c r="I73" s="2"/>
      <c r="J73" s="2"/>
      <c r="K73" s="2"/>
      <c r="L73" s="2"/>
      <c r="M73" s="2"/>
      <c r="N73" s="2"/>
      <c r="O73" s="2">
        <v>7275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15">
        <f t="shared" si="16"/>
        <v>-7275</v>
      </c>
      <c r="AE73" s="17"/>
    </row>
    <row r="74" hidden="1" outlineLevel="1" customFormat="1">
      <c r="B74" s="13" t="str">
        <f>"6440"&amp;" - "&amp;"Leie transportmidler"</f>
        <v>6440 - Leie transportmidler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>
        <v>34645</v>
      </c>
      <c r="N74" s="2"/>
      <c r="O74" s="2">
        <v>34645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15">
        <f t="shared" si="16"/>
        <v>-34645</v>
      </c>
      <c r="AE74" s="17"/>
    </row>
    <row r="75" hidden="1" outlineLevel="1" customFormat="1">
      <c r="B75" s="13" t="str">
        <f>"6455"&amp;" - "&amp;"IT-kostnader"</f>
        <v>6455 - IT-kostnader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15">
        <f t="shared" si="16"/>
        <v>0</v>
      </c>
      <c r="AE75" s="17">
        <v>970</v>
      </c>
    </row>
    <row r="76" hidden="1" outlineLevel="1" customFormat="1">
      <c r="B76" s="13" t="str">
        <f>"6490"&amp;" - "&amp;"Annen leiekostnad"</f>
        <v>6490 - Annen leiekostnad</v>
      </c>
      <c r="C76" s="2"/>
      <c r="D76" s="2">
        <v>64812.5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>
        <v>64812.5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15">
        <f t="shared" si="16"/>
        <v>-64812.5</v>
      </c>
      <c r="AE76" s="17"/>
    </row>
    <row r="77" hidden="1" outlineLevel="1" customFormat="1">
      <c r="B77" s="13" t="str">
        <f>"6545"&amp;" - "&amp;"Data-/ telefonutstyr"</f>
        <v>6545 - Data-/ telefonutstyr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>
        <v>5600</v>
      </c>
      <c r="N77" s="2"/>
      <c r="O77" s="2">
        <v>5600</v>
      </c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15">
        <f t="shared" si="16"/>
        <v>-5600</v>
      </c>
      <c r="AE77" s="17">
        <v>8490</v>
      </c>
    </row>
    <row r="78" hidden="1" outlineLevel="1" customFormat="1">
      <c r="B78" s="13" t="str">
        <f>"6550"&amp;" - "&amp;"Arr. utstyr"</f>
        <v>6550 - Arr. utstyr</v>
      </c>
      <c r="C78" s="2"/>
      <c r="D78" s="2">
        <v>44626.75</v>
      </c>
      <c r="E78" s="2">
        <v>100911.25</v>
      </c>
      <c r="F78" s="2"/>
      <c r="G78" s="2"/>
      <c r="H78" s="2"/>
      <c r="I78" s="2"/>
      <c r="J78" s="2"/>
      <c r="K78" s="2"/>
      <c r="L78" s="2"/>
      <c r="M78" s="2"/>
      <c r="N78" s="2"/>
      <c r="O78" s="2">
        <v>145538</v>
      </c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15">
        <f t="shared" si="16"/>
        <v>-145538</v>
      </c>
      <c r="AE78" s="17">
        <v>13978</v>
      </c>
    </row>
    <row r="79" hidden="1" outlineLevel="1" customFormat="1">
      <c r="B79" s="13" t="str">
        <f>"6580"&amp;" - "&amp;"Idrettsutstyr"</f>
        <v>6580 - Idrettsutstyr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15">
        <f t="shared" si="16"/>
        <v>0</v>
      </c>
      <c r="AE79" s="17">
        <v>2732</v>
      </c>
    </row>
    <row r="80" hidden="1" outlineLevel="1" customFormat="1">
      <c r="B80" s="13" t="str">
        <f>"6720"&amp;" - "&amp;"Honorar for øk. og juridisk bistand"</f>
        <v>6720 - Honorar for øk. og juridisk bistand</v>
      </c>
      <c r="C80" s="2">
        <v>50907.5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>
        <v>50907.5</v>
      </c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15">
        <f t="shared" si="16"/>
        <v>-50907.5</v>
      </c>
      <c r="AE80" s="17"/>
    </row>
    <row r="81" hidden="1" outlineLevel="1" customFormat="1">
      <c r="B81" s="13" t="str">
        <f>"6730"&amp;" - "&amp;"Idrettsfaglig bistand"</f>
        <v>6730 - Idrettsfaglig bistand</v>
      </c>
      <c r="C81" s="2">
        <v>120800</v>
      </c>
      <c r="D81" s="2">
        <v>298337.76</v>
      </c>
      <c r="E81" s="2">
        <v>20875</v>
      </c>
      <c r="F81" s="2"/>
      <c r="G81" s="2"/>
      <c r="H81" s="2"/>
      <c r="I81" s="2"/>
      <c r="J81" s="2"/>
      <c r="K81" s="2"/>
      <c r="L81" s="2"/>
      <c r="M81" s="2">
        <v>117993</v>
      </c>
      <c r="N81" s="2">
        <v>19218.75</v>
      </c>
      <c r="O81" s="2">
        <v>577224.51</v>
      </c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15">
        <f t="shared" si="16"/>
        <v>-577224.51</v>
      </c>
      <c r="AE81" s="17">
        <v>101453.75</v>
      </c>
    </row>
    <row r="82" hidden="1" outlineLevel="1" customFormat="1">
      <c r="B82" s="13" t="str">
        <f>"6740"&amp;" - "&amp;"Medisinsk bistand"</f>
        <v>6740 - Medisinsk bistand</v>
      </c>
      <c r="C82" s="2"/>
      <c r="D82" s="2"/>
      <c r="E82" s="2">
        <v>28400</v>
      </c>
      <c r="F82" s="2"/>
      <c r="G82" s="2"/>
      <c r="H82" s="2"/>
      <c r="I82" s="2">
        <v>7075.22</v>
      </c>
      <c r="J82" s="2"/>
      <c r="K82" s="2"/>
      <c r="L82" s="2"/>
      <c r="M82" s="2">
        <v>22000</v>
      </c>
      <c r="N82" s="2"/>
      <c r="O82" s="2">
        <v>57475.22</v>
      </c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15">
        <f t="shared" si="16"/>
        <v>-57475.22</v>
      </c>
      <c r="AE82" s="17"/>
    </row>
    <row r="83" hidden="1" outlineLevel="1" customFormat="1">
      <c r="B83" s="13" t="str">
        <f>"6790"&amp;" - "&amp;"Annen fremmed tjeneste"</f>
        <v>6790 - Annen fremmed tjeneste</v>
      </c>
      <c r="C83" s="2"/>
      <c r="D83" s="2">
        <v>11250</v>
      </c>
      <c r="E83" s="2">
        <v>474446.26</v>
      </c>
      <c r="F83" s="2">
        <v>15269</v>
      </c>
      <c r="G83" s="2">
        <v>2500</v>
      </c>
      <c r="H83" s="2"/>
      <c r="I83" s="2"/>
      <c r="J83" s="2"/>
      <c r="K83" s="2"/>
      <c r="L83" s="2"/>
      <c r="M83" s="2"/>
      <c r="N83" s="2">
        <v>485625</v>
      </c>
      <c r="O83" s="2">
        <v>989090.26</v>
      </c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15">
        <f t="shared" si="16"/>
        <v>-989090.26</v>
      </c>
      <c r="AE83" s="17">
        <v>478905.79</v>
      </c>
    </row>
    <row r="84" hidden="1" outlineLevel="1" customFormat="1">
      <c r="B84" s="13" t="str">
        <f>"6800"&amp;" - "&amp;"Kontorrekvisita"</f>
        <v>6800 - Kontorrekvisita</v>
      </c>
      <c r="C84" s="2"/>
      <c r="D84" s="2">
        <v>2246.36</v>
      </c>
      <c r="E84" s="2">
        <v>8010.9</v>
      </c>
      <c r="F84" s="2">
        <v>457.6</v>
      </c>
      <c r="G84" s="2"/>
      <c r="H84" s="2"/>
      <c r="I84" s="2"/>
      <c r="J84" s="2"/>
      <c r="K84" s="2"/>
      <c r="L84" s="2"/>
      <c r="M84" s="2">
        <v>342</v>
      </c>
      <c r="N84" s="2"/>
      <c r="O84" s="2">
        <v>11056.86</v>
      </c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15">
        <f t="shared" si="16"/>
        <v>-11056.86</v>
      </c>
      <c r="AE84" s="17">
        <v>7821</v>
      </c>
    </row>
    <row r="85" collapsed="1" customFormat="1">
      <c r="B85" s="14" t="s">
        <v>24</v>
      </c>
      <c r="C85" s="1">
        <f t="shared" si="17" ref="C85:AC85">SUM(C86:C91)</f>
        <v>784.7</v>
      </c>
      <c r="D85" s="1">
        <f t="shared" si="17"/>
        <v>584817.55</v>
      </c>
      <c r="E85" s="1">
        <f t="shared" si="17"/>
        <v>100217.21</v>
      </c>
      <c r="F85" s="1">
        <f t="shared" si="17"/>
        <v>57868.979999999996</v>
      </c>
      <c r="G85" s="1">
        <f t="shared" si="17"/>
        <v>0</v>
      </c>
      <c r="H85" s="1">
        <f t="shared" si="17"/>
        <v>0</v>
      </c>
      <c r="I85" s="1">
        <f t="shared" si="17"/>
        <v>8891</v>
      </c>
      <c r="J85" s="1">
        <f t="shared" si="17"/>
        <v>0</v>
      </c>
      <c r="K85" s="1">
        <f t="shared" si="17"/>
        <v>0</v>
      </c>
      <c r="L85" s="1">
        <f t="shared" si="17"/>
        <v>0</v>
      </c>
      <c r="M85" s="1">
        <f t="shared" si="17"/>
        <v>13304</v>
      </c>
      <c r="N85" s="1">
        <f t="shared" si="17"/>
        <v>0</v>
      </c>
      <c r="O85" s="1">
        <f t="shared" si="17"/>
        <v>765883.44</v>
      </c>
      <c r="P85" s="1">
        <f t="shared" si="17"/>
        <v>0</v>
      </c>
      <c r="Q85" s="1">
        <f t="shared" si="17"/>
        <v>0</v>
      </c>
      <c r="R85" s="1">
        <f t="shared" si="17"/>
        <v>0</v>
      </c>
      <c r="S85" s="1">
        <f t="shared" si="17"/>
        <v>0</v>
      </c>
      <c r="T85" s="1">
        <f t="shared" si="17"/>
        <v>0</v>
      </c>
      <c r="U85" s="1">
        <f t="shared" si="17"/>
        <v>0</v>
      </c>
      <c r="V85" s="1">
        <f t="shared" si="17"/>
        <v>0</v>
      </c>
      <c r="W85" s="1">
        <f t="shared" si="17"/>
        <v>0</v>
      </c>
      <c r="X85" s="1">
        <f t="shared" si="17"/>
        <v>0</v>
      </c>
      <c r="Y85" s="1">
        <f t="shared" si="17"/>
        <v>0</v>
      </c>
      <c r="Z85" s="1">
        <f t="shared" si="17"/>
        <v>0</v>
      </c>
      <c r="AA85" s="1">
        <f t="shared" si="17"/>
        <v>0</v>
      </c>
      <c r="AB85" s="1">
        <f t="shared" si="17"/>
        <v>0</v>
      </c>
      <c r="AC85" s="1">
        <f t="shared" si="17"/>
        <v>0</v>
      </c>
      <c r="AD85" s="16">
        <f>SUM(AC85)</f>
        <v>0</v>
      </c>
      <c r="AE85" s="1">
        <f>SUM(AE86:AE91)</f>
        <v>116487.98999999999</v>
      </c>
    </row>
    <row r="86" hidden="1" outlineLevel="1" customFormat="1">
      <c r="B86" s="13" t="str">
        <f>"7101"&amp;" - "&amp;"Bilgodtgjørelse, oppgavepliktig"</f>
        <v>7101 - Bilgodtgjørelse, oppgavepliktig</v>
      </c>
      <c r="C86" s="2">
        <v>784.7</v>
      </c>
      <c r="D86" s="2">
        <v>5520.55</v>
      </c>
      <c r="E86" s="2">
        <v>20478.5</v>
      </c>
      <c r="F86" s="2">
        <v>17039.4</v>
      </c>
      <c r="G86" s="2"/>
      <c r="H86" s="2"/>
      <c r="I86" s="2"/>
      <c r="J86" s="2"/>
      <c r="K86" s="2"/>
      <c r="L86" s="2"/>
      <c r="M86" s="2"/>
      <c r="N86" s="2"/>
      <c r="O86" s="2">
        <v>43823.15</v>
      </c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15">
        <f t="shared" si="18" ref="AD86:AD91">AC86-O86</f>
        <v>-43823.15</v>
      </c>
      <c r="AE86" s="17">
        <v>33754.35</v>
      </c>
    </row>
    <row r="87" hidden="1" outlineLevel="1" customFormat="1">
      <c r="B87" s="13" t="str">
        <f>"7102"&amp;" - "&amp;"Passasjertillegg, oppgavepliktig"</f>
        <v>7102 - Passasjertillegg, oppgavepliktig</v>
      </c>
      <c r="C87" s="2"/>
      <c r="D87" s="2">
        <v>2073</v>
      </c>
      <c r="E87" s="2">
        <v>2931</v>
      </c>
      <c r="F87" s="2">
        <v>754</v>
      </c>
      <c r="G87" s="2"/>
      <c r="H87" s="2"/>
      <c r="I87" s="2"/>
      <c r="J87" s="2"/>
      <c r="K87" s="2"/>
      <c r="L87" s="2"/>
      <c r="M87" s="2"/>
      <c r="N87" s="2"/>
      <c r="O87" s="2">
        <v>5758</v>
      </c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15">
        <f t="shared" si="18"/>
        <v>-5758</v>
      </c>
      <c r="AE87" s="17">
        <v>4125.1</v>
      </c>
    </row>
    <row r="88" hidden="1" outlineLevel="1" customFormat="1">
      <c r="B88" s="13" t="str">
        <f>"7141"&amp;" - "&amp;"Fly"</f>
        <v>7141 - Fly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15">
        <f t="shared" si="18"/>
        <v>0</v>
      </c>
      <c r="AE88" s="17">
        <v>2628.96</v>
      </c>
    </row>
    <row r="89" hidden="1" outlineLevel="1" customFormat="1">
      <c r="B89" s="13" t="str">
        <f>"7144"&amp;" - "&amp;"Hotell"</f>
        <v>7144 - Hotell</v>
      </c>
      <c r="C89" s="2"/>
      <c r="D89" s="2">
        <v>160832</v>
      </c>
      <c r="E89" s="2">
        <v>-1500</v>
      </c>
      <c r="F89" s="2">
        <v>-33160</v>
      </c>
      <c r="G89" s="2"/>
      <c r="H89" s="2"/>
      <c r="I89" s="2">
        <v>8891</v>
      </c>
      <c r="J89" s="2"/>
      <c r="K89" s="2"/>
      <c r="L89" s="2"/>
      <c r="M89" s="2">
        <v>8904</v>
      </c>
      <c r="N89" s="2"/>
      <c r="O89" s="2">
        <v>143967</v>
      </c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15">
        <f t="shared" si="18"/>
        <v>-143967</v>
      </c>
      <c r="AE89" s="17">
        <v>65928</v>
      </c>
    </row>
    <row r="90" hidden="1" outlineLevel="1" customFormat="1">
      <c r="B90" s="13" t="str">
        <f>"7145"&amp;" - "&amp;"Andre reisekostnader"</f>
        <v>7145 - Andre reisekostnader</v>
      </c>
      <c r="C90" s="2"/>
      <c r="D90" s="2">
        <v>392</v>
      </c>
      <c r="E90" s="2">
        <v>3336</v>
      </c>
      <c r="F90" s="2">
        <v>1335.4</v>
      </c>
      <c r="G90" s="2"/>
      <c r="H90" s="2"/>
      <c r="I90" s="2"/>
      <c r="J90" s="2"/>
      <c r="K90" s="2"/>
      <c r="L90" s="2"/>
      <c r="M90" s="2"/>
      <c r="N90" s="2"/>
      <c r="O90" s="2">
        <v>5063.4</v>
      </c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15">
        <f t="shared" si="18"/>
        <v>-5063.4</v>
      </c>
      <c r="AE90" s="17">
        <v>7484.4</v>
      </c>
    </row>
    <row r="91" hidden="1" outlineLevel="1" customFormat="1">
      <c r="B91" s="13" t="str">
        <f>"7162"&amp;" - "&amp;"Bevertning"</f>
        <v>7162 - Bevertning</v>
      </c>
      <c r="C91" s="2"/>
      <c r="D91" s="2">
        <v>416000</v>
      </c>
      <c r="E91" s="2">
        <v>74971.71</v>
      </c>
      <c r="F91" s="2">
        <v>71900.18</v>
      </c>
      <c r="G91" s="2"/>
      <c r="H91" s="2"/>
      <c r="I91" s="2"/>
      <c r="J91" s="2"/>
      <c r="K91" s="2"/>
      <c r="L91" s="2"/>
      <c r="M91" s="2">
        <v>4400</v>
      </c>
      <c r="N91" s="2"/>
      <c r="O91" s="2">
        <v>567271.89</v>
      </c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15">
        <f t="shared" si="18"/>
        <v>-567271.89</v>
      </c>
      <c r="AE91" s="17">
        <v>2567.18</v>
      </c>
    </row>
    <row r="92" ht="15.75" customHeight="1" collapsed="1" customFormat="1">
      <c r="B92" s="14" t="s">
        <v>18</v>
      </c>
      <c r="C92" s="1">
        <f t="shared" si="19" ref="C92:AC92">SUM(0)</f>
        <v>0</v>
      </c>
      <c r="D92" s="1">
        <f t="shared" si="19"/>
        <v>0</v>
      </c>
      <c r="E92" s="1">
        <f t="shared" si="19"/>
        <v>0</v>
      </c>
      <c r="F92" s="1">
        <f t="shared" si="19"/>
        <v>0</v>
      </c>
      <c r="G92" s="1">
        <f t="shared" si="19"/>
        <v>0</v>
      </c>
      <c r="H92" s="1">
        <f t="shared" si="19"/>
        <v>0</v>
      </c>
      <c r="I92" s="1">
        <f t="shared" si="19"/>
        <v>0</v>
      </c>
      <c r="J92" s="1">
        <f t="shared" si="19"/>
        <v>0</v>
      </c>
      <c r="K92" s="1">
        <f t="shared" si="19"/>
        <v>0</v>
      </c>
      <c r="L92" s="1">
        <f t="shared" si="19"/>
        <v>0</v>
      </c>
      <c r="M92" s="1">
        <f t="shared" si="19"/>
        <v>0</v>
      </c>
      <c r="N92" s="1">
        <f t="shared" si="19"/>
        <v>0</v>
      </c>
      <c r="O92" s="1">
        <f t="shared" si="19"/>
        <v>0</v>
      </c>
      <c r="P92" s="1">
        <f t="shared" si="19"/>
        <v>0</v>
      </c>
      <c r="Q92" s="1">
        <f t="shared" si="19"/>
        <v>0</v>
      </c>
      <c r="R92" s="1">
        <f t="shared" si="19"/>
        <v>0</v>
      </c>
      <c r="S92" s="1">
        <f t="shared" si="19"/>
        <v>0</v>
      </c>
      <c r="T92" s="1">
        <f t="shared" si="19"/>
        <v>0</v>
      </c>
      <c r="U92" s="1">
        <f t="shared" si="19"/>
        <v>0</v>
      </c>
      <c r="V92" s="1">
        <f t="shared" si="19"/>
        <v>0</v>
      </c>
      <c r="W92" s="1">
        <f t="shared" si="19"/>
        <v>0</v>
      </c>
      <c r="X92" s="1">
        <f t="shared" si="19"/>
        <v>0</v>
      </c>
      <c r="Y92" s="1">
        <f t="shared" si="19"/>
        <v>0</v>
      </c>
      <c r="Z92" s="1">
        <f t="shared" si="19"/>
        <v>0</v>
      </c>
      <c r="AA92" s="1">
        <f t="shared" si="19"/>
        <v>0</v>
      </c>
      <c r="AB92" s="1">
        <f t="shared" si="19"/>
        <v>0</v>
      </c>
      <c r="AC92" s="1">
        <f t="shared" si="19"/>
        <v>0</v>
      </c>
      <c r="AD92" s="16">
        <f>SUM(AC92)</f>
        <v>0</v>
      </c>
      <c r="AE92" s="1">
        <f>SUM(0)</f>
        <v>0</v>
      </c>
    </row>
    <row r="93" customFormat="1">
      <c r="B93" s="14" t="s">
        <v>19</v>
      </c>
      <c r="C93" s="1">
        <f t="shared" si="20" ref="C93:AC93">SUM(C94)</f>
        <v>0</v>
      </c>
      <c r="D93" s="1">
        <f t="shared" si="20"/>
        <v>0</v>
      </c>
      <c r="E93" s="1">
        <f t="shared" si="20"/>
        <v>23750</v>
      </c>
      <c r="F93" s="1">
        <f t="shared" si="20"/>
        <v>0</v>
      </c>
      <c r="G93" s="1">
        <f t="shared" si="20"/>
        <v>0</v>
      </c>
      <c r="H93" s="1">
        <f t="shared" si="20"/>
        <v>0</v>
      </c>
      <c r="I93" s="1">
        <f t="shared" si="20"/>
        <v>0</v>
      </c>
      <c r="J93" s="1">
        <f t="shared" si="20"/>
        <v>0</v>
      </c>
      <c r="K93" s="1">
        <f t="shared" si="20"/>
        <v>0</v>
      </c>
      <c r="L93" s="1">
        <f t="shared" si="20"/>
        <v>0</v>
      </c>
      <c r="M93" s="1">
        <f t="shared" si="20"/>
        <v>0</v>
      </c>
      <c r="N93" s="1">
        <f t="shared" si="20"/>
        <v>0</v>
      </c>
      <c r="O93" s="1">
        <f t="shared" si="20"/>
        <v>23750</v>
      </c>
      <c r="P93" s="1">
        <f t="shared" si="20"/>
        <v>0</v>
      </c>
      <c r="Q93" s="1">
        <f t="shared" si="20"/>
        <v>0</v>
      </c>
      <c r="R93" s="1">
        <f t="shared" si="20"/>
        <v>0</v>
      </c>
      <c r="S93" s="1">
        <f t="shared" si="20"/>
        <v>0</v>
      </c>
      <c r="T93" s="1">
        <f t="shared" si="20"/>
        <v>0</v>
      </c>
      <c r="U93" s="1">
        <f t="shared" si="20"/>
        <v>0</v>
      </c>
      <c r="V93" s="1">
        <f t="shared" si="20"/>
        <v>0</v>
      </c>
      <c r="W93" s="1">
        <f t="shared" si="20"/>
        <v>0</v>
      </c>
      <c r="X93" s="1">
        <f t="shared" si="20"/>
        <v>0</v>
      </c>
      <c r="Y93" s="1">
        <f t="shared" si="20"/>
        <v>0</v>
      </c>
      <c r="Z93" s="1">
        <f t="shared" si="20"/>
        <v>0</v>
      </c>
      <c r="AA93" s="1">
        <f t="shared" si="20"/>
        <v>0</v>
      </c>
      <c r="AB93" s="1">
        <f t="shared" si="20"/>
        <v>0</v>
      </c>
      <c r="AC93" s="1">
        <f t="shared" si="20"/>
        <v>0</v>
      </c>
      <c r="AD93" s="16">
        <f>SUM(AC93)</f>
        <v>0</v>
      </c>
      <c r="AE93" s="1">
        <f>SUM(AE94)</f>
        <v>15750</v>
      </c>
    </row>
    <row r="94" hidden="1" outlineLevel="1" customFormat="1">
      <c r="B94" s="13" t="str">
        <f>"7320"&amp;" - "&amp;"Reklame og annonser"</f>
        <v>7320 - Reklame og annonser</v>
      </c>
      <c r="C94" s="2"/>
      <c r="D94" s="2"/>
      <c r="E94" s="2">
        <v>23750</v>
      </c>
      <c r="F94" s="2"/>
      <c r="G94" s="2"/>
      <c r="H94" s="2"/>
      <c r="I94" s="2"/>
      <c r="J94" s="2"/>
      <c r="K94" s="2"/>
      <c r="L94" s="2"/>
      <c r="M94" s="2"/>
      <c r="N94" s="2"/>
      <c r="O94" s="2">
        <v>23750</v>
      </c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15">
        <f>AC94-O94</f>
        <v>-23750</v>
      </c>
      <c r="AE94" s="17">
        <v>15750</v>
      </c>
    </row>
    <row r="95" collapsed="1" customFormat="1">
      <c r="B95" s="14" t="s">
        <v>20</v>
      </c>
      <c r="C95" s="1">
        <f t="shared" si="21" ref="C95:AC95">SUM(C96:C97)</f>
        <v>0</v>
      </c>
      <c r="D95" s="1">
        <f t="shared" si="21"/>
        <v>0</v>
      </c>
      <c r="E95" s="1">
        <f t="shared" si="21"/>
        <v>20546.25</v>
      </c>
      <c r="F95" s="1">
        <f t="shared" si="21"/>
        <v>0</v>
      </c>
      <c r="G95" s="1">
        <f t="shared" si="21"/>
        <v>0</v>
      </c>
      <c r="H95" s="1">
        <f t="shared" si="21"/>
        <v>0</v>
      </c>
      <c r="I95" s="1">
        <f t="shared" si="21"/>
        <v>0</v>
      </c>
      <c r="J95" s="1">
        <f t="shared" si="21"/>
        <v>0</v>
      </c>
      <c r="K95" s="1">
        <f t="shared" si="21"/>
        <v>0</v>
      </c>
      <c r="L95" s="1">
        <f t="shared" si="21"/>
        <v>0</v>
      </c>
      <c r="M95" s="1">
        <f t="shared" si="21"/>
        <v>0</v>
      </c>
      <c r="N95" s="1">
        <f t="shared" si="21"/>
        <v>0</v>
      </c>
      <c r="O95" s="1">
        <f t="shared" si="21"/>
        <v>20546.25</v>
      </c>
      <c r="P95" s="1">
        <f t="shared" si="21"/>
        <v>0</v>
      </c>
      <c r="Q95" s="1">
        <f t="shared" si="21"/>
        <v>0</v>
      </c>
      <c r="R95" s="1">
        <f t="shared" si="21"/>
        <v>0</v>
      </c>
      <c r="S95" s="1">
        <f t="shared" si="21"/>
        <v>0</v>
      </c>
      <c r="T95" s="1">
        <f t="shared" si="21"/>
        <v>0</v>
      </c>
      <c r="U95" s="1">
        <f t="shared" si="21"/>
        <v>0</v>
      </c>
      <c r="V95" s="1">
        <f t="shared" si="21"/>
        <v>0</v>
      </c>
      <c r="W95" s="1">
        <f t="shared" si="21"/>
        <v>0</v>
      </c>
      <c r="X95" s="1">
        <f t="shared" si="21"/>
        <v>0</v>
      </c>
      <c r="Y95" s="1">
        <f t="shared" si="21"/>
        <v>0</v>
      </c>
      <c r="Z95" s="1">
        <f t="shared" si="21"/>
        <v>0</v>
      </c>
      <c r="AA95" s="1">
        <f t="shared" si="21"/>
        <v>0</v>
      </c>
      <c r="AB95" s="1">
        <f t="shared" si="21"/>
        <v>0</v>
      </c>
      <c r="AC95" s="1">
        <f t="shared" si="21"/>
        <v>0</v>
      </c>
      <c r="AD95" s="16">
        <f>SUM(AC95)</f>
        <v>0</v>
      </c>
      <c r="AE95" s="1">
        <f>SUM(AE96:AE97)</f>
        <v>2350</v>
      </c>
    </row>
    <row r="96" hidden="1" outlineLevel="1" customFormat="1">
      <c r="B96" s="13" t="str">
        <f>"7415"&amp;" - "&amp;"Påmeldinger/kurs"</f>
        <v>7415 - Påmeldinger/kurs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15">
        <f t="shared" si="22" ref="AD96:AD97">AC96-O96</f>
        <v>0</v>
      </c>
      <c r="AE96" s="17">
        <v>2350</v>
      </c>
    </row>
    <row r="97" hidden="1" outlineLevel="1" customFormat="1">
      <c r="B97" s="13" t="str">
        <f>"7420"&amp;" - "&amp;"Gaver og premier"</f>
        <v>7420 - Gaver og premier</v>
      </c>
      <c r="C97" s="2"/>
      <c r="D97" s="2"/>
      <c r="E97" s="2">
        <v>20546.25</v>
      </c>
      <c r="F97" s="2"/>
      <c r="G97" s="2"/>
      <c r="H97" s="2"/>
      <c r="I97" s="2"/>
      <c r="J97" s="2"/>
      <c r="K97" s="2"/>
      <c r="L97" s="2"/>
      <c r="M97" s="2"/>
      <c r="N97" s="2"/>
      <c r="O97" s="2">
        <v>20546.25</v>
      </c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15">
        <f t="shared" si="22"/>
        <v>-20546.25</v>
      </c>
      <c r="AE97" s="17"/>
    </row>
    <row r="98" collapsed="1" customFormat="1">
      <c r="B98" s="14" t="s">
        <v>6</v>
      </c>
      <c r="C98" s="1">
        <f t="shared" si="23" ref="C98:AC98">SUM(0)</f>
        <v>0</v>
      </c>
      <c r="D98" s="1">
        <f t="shared" si="23"/>
        <v>0</v>
      </c>
      <c r="E98" s="1">
        <f t="shared" si="23"/>
        <v>0</v>
      </c>
      <c r="F98" s="1">
        <f t="shared" si="23"/>
        <v>0</v>
      </c>
      <c r="G98" s="1">
        <f t="shared" si="23"/>
        <v>0</v>
      </c>
      <c r="H98" s="1">
        <f t="shared" si="23"/>
        <v>0</v>
      </c>
      <c r="I98" s="1">
        <f t="shared" si="23"/>
        <v>0</v>
      </c>
      <c r="J98" s="1">
        <f t="shared" si="23"/>
        <v>0</v>
      </c>
      <c r="K98" s="1">
        <f t="shared" si="23"/>
        <v>0</v>
      </c>
      <c r="L98" s="1">
        <f t="shared" si="23"/>
        <v>0</v>
      </c>
      <c r="M98" s="1">
        <f t="shared" si="23"/>
        <v>0</v>
      </c>
      <c r="N98" s="1">
        <f t="shared" si="23"/>
        <v>0</v>
      </c>
      <c r="O98" s="1">
        <f t="shared" si="23"/>
        <v>0</v>
      </c>
      <c r="P98" s="1">
        <f t="shared" si="23"/>
        <v>0</v>
      </c>
      <c r="Q98" s="1">
        <f t="shared" si="23"/>
        <v>0</v>
      </c>
      <c r="R98" s="1">
        <f t="shared" si="23"/>
        <v>0</v>
      </c>
      <c r="S98" s="1">
        <f t="shared" si="23"/>
        <v>0</v>
      </c>
      <c r="T98" s="1">
        <f t="shared" si="23"/>
        <v>0</v>
      </c>
      <c r="U98" s="1">
        <f t="shared" si="23"/>
        <v>0</v>
      </c>
      <c r="V98" s="1">
        <f t="shared" si="23"/>
        <v>0</v>
      </c>
      <c r="W98" s="1">
        <f t="shared" si="23"/>
        <v>0</v>
      </c>
      <c r="X98" s="1">
        <f t="shared" si="23"/>
        <v>0</v>
      </c>
      <c r="Y98" s="1">
        <f t="shared" si="23"/>
        <v>0</v>
      </c>
      <c r="Z98" s="1">
        <f t="shared" si="23"/>
        <v>0</v>
      </c>
      <c r="AA98" s="1">
        <f t="shared" si="23"/>
        <v>0</v>
      </c>
      <c r="AB98" s="1">
        <f t="shared" si="23"/>
        <v>0</v>
      </c>
      <c r="AC98" s="1">
        <f t="shared" si="23"/>
        <v>0</v>
      </c>
      <c r="AD98" s="16">
        <f>SUM(AC98)</f>
        <v>0</v>
      </c>
      <c r="AE98" s="1">
        <f>SUM(0)</f>
        <v>0</v>
      </c>
    </row>
    <row r="99" customFormat="1">
      <c r="B99" s="14" t="s">
        <v>10</v>
      </c>
      <c r="C99" s="1">
        <f t="shared" si="24" ref="C99:AC99">SUM(C100:C102)</f>
        <v>0</v>
      </c>
      <c r="D99" s="1">
        <f t="shared" si="24"/>
        <v>4057</v>
      </c>
      <c r="E99" s="1">
        <f t="shared" si="24"/>
        <v>0</v>
      </c>
      <c r="F99" s="1">
        <f t="shared" si="24"/>
        <v>0</v>
      </c>
      <c r="G99" s="1">
        <f t="shared" si="24"/>
        <v>0</v>
      </c>
      <c r="H99" s="1">
        <f t="shared" si="24"/>
        <v>0</v>
      </c>
      <c r="I99" s="1">
        <f t="shared" si="24"/>
        <v>0</v>
      </c>
      <c r="J99" s="1">
        <f t="shared" si="24"/>
        <v>0</v>
      </c>
      <c r="K99" s="1">
        <f t="shared" si="24"/>
        <v>0</v>
      </c>
      <c r="L99" s="1">
        <f t="shared" si="24"/>
        <v>0</v>
      </c>
      <c r="M99" s="1">
        <f t="shared" si="24"/>
        <v>35</v>
      </c>
      <c r="N99" s="1">
        <f t="shared" si="24"/>
        <v>0</v>
      </c>
      <c r="O99" s="1">
        <f t="shared" si="24"/>
        <v>4092</v>
      </c>
      <c r="P99" s="1">
        <f t="shared" si="24"/>
        <v>1502497</v>
      </c>
      <c r="Q99" s="1">
        <f t="shared" si="24"/>
        <v>1502497</v>
      </c>
      <c r="R99" s="1">
        <f t="shared" si="24"/>
        <v>0</v>
      </c>
      <c r="S99" s="1">
        <f t="shared" si="24"/>
        <v>0</v>
      </c>
      <c r="T99" s="1">
        <f t="shared" si="24"/>
        <v>0</v>
      </c>
      <c r="U99" s="1">
        <f t="shared" si="24"/>
        <v>0</v>
      </c>
      <c r="V99" s="1">
        <f t="shared" si="24"/>
        <v>0</v>
      </c>
      <c r="W99" s="1">
        <f t="shared" si="24"/>
        <v>0</v>
      </c>
      <c r="X99" s="1">
        <f t="shared" si="24"/>
        <v>0</v>
      </c>
      <c r="Y99" s="1">
        <f t="shared" si="24"/>
        <v>0</v>
      </c>
      <c r="Z99" s="1">
        <f t="shared" si="24"/>
        <v>0</v>
      </c>
      <c r="AA99" s="1">
        <f t="shared" si="24"/>
        <v>0</v>
      </c>
      <c r="AB99" s="1">
        <f t="shared" si="24"/>
        <v>0</v>
      </c>
      <c r="AC99" s="1">
        <f t="shared" si="24"/>
        <v>1502497</v>
      </c>
      <c r="AD99" s="16">
        <f>SUM(AC99)</f>
        <v>1502497</v>
      </c>
      <c r="AE99" s="1">
        <f>SUM(AE100:AE102)</f>
        <v>840</v>
      </c>
    </row>
    <row r="100" hidden="1" outlineLevel="1" customFormat="1">
      <c r="B100" s="13" t="str">
        <f>"7500"&amp;" - "&amp;"Forsikringspremie"</f>
        <v>7500 - Forsikringspremie</v>
      </c>
      <c r="C100" s="2"/>
      <c r="D100" s="2">
        <v>4057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>
        <v>4057</v>
      </c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15">
        <f t="shared" si="25" ref="AD100:AD102">AC100-O100</f>
        <v>-4057</v>
      </c>
      <c r="AE100" s="17"/>
    </row>
    <row r="101" hidden="1" outlineLevel="1" customFormat="1">
      <c r="B101" s="13" t="str">
        <f>"7770"&amp;" - "&amp;"Bank og kortgebyrer"</f>
        <v>7770 - Bank og kortgebyrer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>
        <v>35</v>
      </c>
      <c r="N101" s="2"/>
      <c r="O101" s="2">
        <v>35</v>
      </c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15">
        <f t="shared" si="25"/>
        <v>-35</v>
      </c>
      <c r="AE101" s="17">
        <v>840</v>
      </c>
    </row>
    <row r="102" hidden="1" outlineLevel="1" customFormat="1">
      <c r="B102" s="13" t="str">
        <f>"7999"&amp;" - "&amp;"Budsjetterte kostnader"</f>
        <v>7999 - Budsjetterte kostnader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>
        <v>1502497</v>
      </c>
      <c r="Q102" s="2">
        <v>1502497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1502497</v>
      </c>
      <c r="AD102" s="15">
        <f t="shared" si="25"/>
        <v>1502497</v>
      </c>
      <c r="AE102" s="17"/>
    </row>
    <row r="103" collapsed="1">
      <c r="B103" s="28" t="s">
        <v>4</v>
      </c>
      <c r="C103" s="8">
        <f t="shared" si="26" ref="C103:AE103">C29+C56+C68+C85+C92+C93+C95+C98+C99</f>
        <v>246356.26</v>
      </c>
      <c r="D103" s="8">
        <f t="shared" si="26"/>
        <v>1099212.78</v>
      </c>
      <c r="E103" s="8">
        <f t="shared" si="26"/>
        <v>871397.35</v>
      </c>
      <c r="F103" s="8">
        <f t="shared" si="26"/>
        <v>79426.57999999999</v>
      </c>
      <c r="G103" s="8">
        <f t="shared" si="26"/>
        <v>50151.72</v>
      </c>
      <c r="H103" s="8">
        <f t="shared" si="26"/>
        <v>0</v>
      </c>
      <c r="I103" s="8">
        <f t="shared" si="26"/>
        <v>15966.220000000001</v>
      </c>
      <c r="J103" s="8">
        <f t="shared" si="26"/>
        <v>0</v>
      </c>
      <c r="K103" s="8">
        <f t="shared" si="26"/>
        <v>0</v>
      </c>
      <c r="L103" s="8">
        <f t="shared" si="26"/>
        <v>0</v>
      </c>
      <c r="M103" s="8">
        <f t="shared" si="26"/>
        <v>200029.05</v>
      </c>
      <c r="N103" s="8">
        <f t="shared" si="26"/>
        <v>523997.64</v>
      </c>
      <c r="O103" s="8">
        <f t="shared" si="26"/>
        <v>3086537.6</v>
      </c>
      <c r="P103" s="8">
        <f t="shared" si="26"/>
        <v>1502497</v>
      </c>
      <c r="Q103" s="8">
        <f t="shared" si="26"/>
        <v>1502497</v>
      </c>
      <c r="R103" s="8">
        <f t="shared" si="26"/>
        <v>0</v>
      </c>
      <c r="S103" s="8">
        <f t="shared" si="26"/>
        <v>0</v>
      </c>
      <c r="T103" s="8">
        <f t="shared" si="26"/>
        <v>0</v>
      </c>
      <c r="U103" s="8">
        <f t="shared" si="26"/>
        <v>0</v>
      </c>
      <c r="V103" s="8">
        <f t="shared" si="26"/>
        <v>0</v>
      </c>
      <c r="W103" s="8">
        <f t="shared" si="26"/>
        <v>0</v>
      </c>
      <c r="X103" s="8">
        <f t="shared" si="26"/>
        <v>0</v>
      </c>
      <c r="Y103" s="8">
        <f t="shared" si="26"/>
        <v>0</v>
      </c>
      <c r="Z103" s="8">
        <f t="shared" si="26"/>
        <v>0</v>
      </c>
      <c r="AA103" s="8">
        <f t="shared" si="26"/>
        <v>0</v>
      </c>
      <c r="AB103" s="8">
        <f t="shared" si="26"/>
        <v>0</v>
      </c>
      <c r="AC103" s="8">
        <f t="shared" si="26"/>
        <v>1502497</v>
      </c>
      <c r="AD103" s="30">
        <f t="shared" si="26"/>
        <v>1502497</v>
      </c>
      <c r="AE103" s="32">
        <f t="shared" si="26"/>
        <v>1221634.2500000002</v>
      </c>
      <c r="AF103" s="18"/>
    </row>
    <row r="104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E104" s="21"/>
    </row>
    <row r="10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E105" s="21"/>
    </row>
    <row r="106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E106" s="21"/>
    </row>
    <row r="107" customFormat="1">
      <c r="B107" s="14" t="s">
        <v>23</v>
      </c>
      <c r="C107" s="1">
        <f t="shared" si="27" ref="C107:AC107">SUM(C108)</f>
        <v>0</v>
      </c>
      <c r="D107" s="1">
        <f t="shared" si="27"/>
        <v>0</v>
      </c>
      <c r="E107" s="1">
        <f t="shared" si="27"/>
        <v>0</v>
      </c>
      <c r="F107" s="1">
        <f t="shared" si="27"/>
        <v>0</v>
      </c>
      <c r="G107" s="1">
        <f t="shared" si="27"/>
        <v>0</v>
      </c>
      <c r="H107" s="1">
        <f t="shared" si="27"/>
        <v>0</v>
      </c>
      <c r="I107" s="1">
        <f t="shared" si="27"/>
        <v>0</v>
      </c>
      <c r="J107" s="1">
        <f t="shared" si="27"/>
        <v>0</v>
      </c>
      <c r="K107" s="1">
        <f t="shared" si="27"/>
        <v>0</v>
      </c>
      <c r="L107" s="1">
        <f t="shared" si="27"/>
        <v>0</v>
      </c>
      <c r="M107" s="1">
        <f t="shared" si="27"/>
        <v>0</v>
      </c>
      <c r="N107" s="1">
        <f t="shared" si="27"/>
        <v>0</v>
      </c>
      <c r="O107" s="1">
        <f t="shared" si="27"/>
        <v>0</v>
      </c>
      <c r="P107" s="1">
        <f t="shared" si="27"/>
        <v>0</v>
      </c>
      <c r="Q107" s="1">
        <f t="shared" si="27"/>
        <v>0</v>
      </c>
      <c r="R107" s="1">
        <f t="shared" si="27"/>
        <v>0</v>
      </c>
      <c r="S107" s="1">
        <f t="shared" si="27"/>
        <v>0</v>
      </c>
      <c r="T107" s="1">
        <f t="shared" si="27"/>
        <v>0</v>
      </c>
      <c r="U107" s="1">
        <f t="shared" si="27"/>
        <v>0</v>
      </c>
      <c r="V107" s="1">
        <f t="shared" si="27"/>
        <v>0</v>
      </c>
      <c r="W107" s="1">
        <f t="shared" si="27"/>
        <v>0</v>
      </c>
      <c r="X107" s="1">
        <f t="shared" si="27"/>
        <v>0</v>
      </c>
      <c r="Y107" s="1">
        <f t="shared" si="27"/>
        <v>0</v>
      </c>
      <c r="Z107" s="1">
        <f t="shared" si="27"/>
        <v>0</v>
      </c>
      <c r="AA107" s="1">
        <f t="shared" si="27"/>
        <v>0</v>
      </c>
      <c r="AB107" s="1">
        <f t="shared" si="27"/>
        <v>0</v>
      </c>
      <c r="AC107" s="1">
        <f t="shared" si="27"/>
        <v>0</v>
      </c>
      <c r="AD107" s="16">
        <f>SUM(AC107)</f>
        <v>0</v>
      </c>
      <c r="AE107" s="1">
        <f>SUM(AE108)</f>
        <v>186.65</v>
      </c>
    </row>
    <row r="108" hidden="1" outlineLevel="1" customFormat="1">
      <c r="B108" s="13" t="str">
        <f>"8140"&amp;" - "&amp;"Rentekostnader"</f>
        <v>8140 - Rentekostnader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15">
        <f>AC108-O108</f>
        <v>0</v>
      </c>
      <c r="AE108" s="17">
        <v>186.65</v>
      </c>
    </row>
    <row r="109" ht="16.5" collapsed="1" thickBot="1">
      <c r="B109" s="29" t="s">
        <v>1</v>
      </c>
      <c r="C109" s="4">
        <f t="shared" si="28" ref="C109:AE109">C107+C103+C25</f>
        <v>246356.26</v>
      </c>
      <c r="D109" s="4">
        <f t="shared" si="28"/>
        <v>-112879.21999999997</v>
      </c>
      <c r="E109" s="4">
        <f t="shared" si="28"/>
        <v>389303.97</v>
      </c>
      <c r="F109" s="4">
        <f t="shared" si="28"/>
        <v>-194154.13999999998</v>
      </c>
      <c r="G109" s="4">
        <f t="shared" si="28"/>
        <v>50151.72</v>
      </c>
      <c r="H109" s="4">
        <f t="shared" si="28"/>
        <v>0</v>
      </c>
      <c r="I109" s="4">
        <f t="shared" si="28"/>
        <v>15966.220000000001</v>
      </c>
      <c r="J109" s="4">
        <f t="shared" si="28"/>
        <v>0</v>
      </c>
      <c r="K109" s="4">
        <f t="shared" si="28"/>
        <v>0</v>
      </c>
      <c r="L109" s="4">
        <f t="shared" si="28"/>
        <v>0</v>
      </c>
      <c r="M109" s="4">
        <f t="shared" si="28"/>
        <v>200029.05</v>
      </c>
      <c r="N109" s="4">
        <f t="shared" si="28"/>
        <v>-191783.36</v>
      </c>
      <c r="O109" s="4">
        <f t="shared" si="28"/>
        <v>402990.5</v>
      </c>
      <c r="P109" s="4">
        <f t="shared" si="28"/>
        <v>300000</v>
      </c>
      <c r="Q109" s="4">
        <f t="shared" si="28"/>
        <v>2704994</v>
      </c>
      <c r="R109" s="4">
        <f t="shared" si="28"/>
        <v>0</v>
      </c>
      <c r="S109" s="4">
        <f t="shared" si="28"/>
        <v>0</v>
      </c>
      <c r="T109" s="4">
        <f t="shared" si="28"/>
        <v>0</v>
      </c>
      <c r="U109" s="4">
        <f t="shared" si="28"/>
        <v>0</v>
      </c>
      <c r="V109" s="4">
        <f t="shared" si="28"/>
        <v>0</v>
      </c>
      <c r="W109" s="4">
        <f t="shared" si="28"/>
        <v>0</v>
      </c>
      <c r="X109" s="4">
        <f t="shared" si="28"/>
        <v>0</v>
      </c>
      <c r="Y109" s="4">
        <f t="shared" si="28"/>
        <v>0</v>
      </c>
      <c r="Z109" s="4">
        <f t="shared" si="28"/>
        <v>0</v>
      </c>
      <c r="AA109" s="4">
        <f t="shared" si="28"/>
        <v>0</v>
      </c>
      <c r="AB109" s="4">
        <f t="shared" si="28"/>
        <v>0</v>
      </c>
      <c r="AC109" s="4">
        <f t="shared" si="28"/>
        <v>300000</v>
      </c>
      <c r="AD109" s="4">
        <f t="shared" si="28"/>
        <v>300000</v>
      </c>
      <c r="AE109" s="4">
        <f t="shared" si="28"/>
        <v>-0.09999999986030161</v>
      </c>
      <c r="AF109" s="18"/>
    </row>
  </sheetData>
  <pageMargins left="0.7" right="0.7" top="0.75" bottom="0.75" header="0.3" footer="0.3"/>
  <pageSetup paperSize="9" orientation="portrait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OneStop Reporting</dc:creator>
  <cp:lastModifiedBy>SpreadsheetGear User</cp:lastModifiedBy>
  <dcterms:created xsi:type="dcterms:W3CDTF">2016-12-12T14:48:14Z</dcterms:created>
  <dcterms:modified xsi:type="dcterms:W3CDTF">2026-05-06T10:02:33Z</dcterms:modified>
</cp:coreProperties>
</file>