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annebjornson_hofstad_sleddog_no/Documents/Skrivebord/Hundekjørertinget 2025/"/>
    </mc:Choice>
  </mc:AlternateContent>
  <xr:revisionPtr revIDLastSave="1" documentId="8_{EAA16EE1-0ECF-4811-BFB5-DD3A6FDCFC89}" xr6:coauthVersionLast="47" xr6:coauthVersionMax="47" xr10:uidLastSave="{351ED6FF-BE36-4C4B-94EA-CFFF4DB5D7C3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4" i="1" l="1"/>
  <c r="B104" i="1"/>
  <c r="AE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AD98" i="1"/>
  <c r="B98" i="1"/>
  <c r="AD97" i="1"/>
  <c r="B97" i="1"/>
  <c r="AD96" i="1"/>
  <c r="B96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AE94" i="1"/>
  <c r="AC94" i="1"/>
  <c r="AD94" i="1" s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AD93" i="1"/>
  <c r="B93" i="1"/>
  <c r="AD92" i="1"/>
  <c r="B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AD90" i="1"/>
  <c r="B90" i="1"/>
  <c r="AE89" i="1"/>
  <c r="AC89" i="1"/>
  <c r="AD89" i="1" s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AD87" i="1"/>
  <c r="B87" i="1"/>
  <c r="AD86" i="1"/>
  <c r="B86" i="1"/>
  <c r="AD85" i="1"/>
  <c r="B85" i="1"/>
  <c r="AD84" i="1"/>
  <c r="B84" i="1"/>
  <c r="AD83" i="1"/>
  <c r="B83" i="1"/>
  <c r="AD82" i="1"/>
  <c r="B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AD80" i="1"/>
  <c r="B80" i="1"/>
  <c r="AD79" i="1"/>
  <c r="B79" i="1"/>
  <c r="AD78" i="1"/>
  <c r="B78" i="1"/>
  <c r="AD77" i="1"/>
  <c r="B77" i="1"/>
  <c r="AD76" i="1"/>
  <c r="B76" i="1"/>
  <c r="AD75" i="1"/>
  <c r="B75" i="1"/>
  <c r="AD74" i="1"/>
  <c r="B74" i="1"/>
  <c r="AD73" i="1"/>
  <c r="B73" i="1"/>
  <c r="AD72" i="1"/>
  <c r="B72" i="1"/>
  <c r="AD71" i="1"/>
  <c r="B71" i="1"/>
  <c r="AD70" i="1"/>
  <c r="B70" i="1"/>
  <c r="AD69" i="1"/>
  <c r="B69" i="1"/>
  <c r="AD68" i="1"/>
  <c r="B68" i="1"/>
  <c r="AD67" i="1"/>
  <c r="B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AD65" i="1"/>
  <c r="B65" i="1"/>
  <c r="AD64" i="1"/>
  <c r="B64" i="1"/>
  <c r="AD63" i="1"/>
  <c r="B63" i="1"/>
  <c r="AD62" i="1"/>
  <c r="B62" i="1"/>
  <c r="AD61" i="1"/>
  <c r="B61" i="1"/>
  <c r="AD60" i="1"/>
  <c r="B60" i="1"/>
  <c r="AD59" i="1"/>
  <c r="B59" i="1"/>
  <c r="AD58" i="1"/>
  <c r="B58" i="1"/>
  <c r="AD57" i="1"/>
  <c r="B57" i="1"/>
  <c r="AD56" i="1"/>
  <c r="B56" i="1"/>
  <c r="AE55" i="1"/>
  <c r="AC55" i="1"/>
  <c r="AD55" i="1" s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AD54" i="1"/>
  <c r="B54" i="1"/>
  <c r="AD53" i="1"/>
  <c r="B53" i="1"/>
  <c r="AD52" i="1"/>
  <c r="B52" i="1"/>
  <c r="AD51" i="1"/>
  <c r="B51" i="1"/>
  <c r="AD50" i="1"/>
  <c r="B50" i="1"/>
  <c r="AD49" i="1"/>
  <c r="B49" i="1"/>
  <c r="AD48" i="1"/>
  <c r="B48" i="1"/>
  <c r="AD47" i="1"/>
  <c r="B47" i="1"/>
  <c r="AD46" i="1"/>
  <c r="B46" i="1"/>
  <c r="AD45" i="1"/>
  <c r="B45" i="1"/>
  <c r="AD44" i="1"/>
  <c r="B44" i="1"/>
  <c r="AD43" i="1"/>
  <c r="B43" i="1"/>
  <c r="AD42" i="1"/>
  <c r="B42" i="1"/>
  <c r="AD41" i="1"/>
  <c r="B41" i="1"/>
  <c r="AD40" i="1"/>
  <c r="B40" i="1"/>
  <c r="AD39" i="1"/>
  <c r="B39" i="1"/>
  <c r="AD38" i="1"/>
  <c r="B38" i="1"/>
  <c r="AD37" i="1"/>
  <c r="B37" i="1"/>
  <c r="AD36" i="1"/>
  <c r="B36" i="1"/>
  <c r="AD35" i="1"/>
  <c r="B35" i="1"/>
  <c r="AD34" i="1"/>
  <c r="B34" i="1"/>
  <c r="AD33" i="1"/>
  <c r="B33" i="1"/>
  <c r="AD32" i="1"/>
  <c r="B32" i="1"/>
  <c r="AD31" i="1"/>
  <c r="B31" i="1"/>
  <c r="AD30" i="1"/>
  <c r="B30" i="1"/>
  <c r="AD29" i="1"/>
  <c r="B29" i="1"/>
  <c r="AE28" i="1"/>
  <c r="AC28" i="1"/>
  <c r="AB28" i="1"/>
  <c r="AA28" i="1"/>
  <c r="Z28" i="1"/>
  <c r="Y28" i="1"/>
  <c r="X28" i="1"/>
  <c r="X99" i="1" s="1"/>
  <c r="W28" i="1"/>
  <c r="W99" i="1" s="1"/>
  <c r="V28" i="1"/>
  <c r="U28" i="1"/>
  <c r="T28" i="1"/>
  <c r="S28" i="1"/>
  <c r="R28" i="1"/>
  <c r="Q28" i="1"/>
  <c r="P28" i="1"/>
  <c r="O28" i="1"/>
  <c r="N28" i="1"/>
  <c r="M28" i="1"/>
  <c r="M99" i="1" s="1"/>
  <c r="L28" i="1"/>
  <c r="L99" i="1" s="1"/>
  <c r="K28" i="1"/>
  <c r="K99" i="1" s="1"/>
  <c r="J28" i="1"/>
  <c r="J99" i="1" s="1"/>
  <c r="I28" i="1"/>
  <c r="H28" i="1"/>
  <c r="G28" i="1"/>
  <c r="F28" i="1"/>
  <c r="E28" i="1"/>
  <c r="D28" i="1"/>
  <c r="C28" i="1"/>
  <c r="AC23" i="1"/>
  <c r="AD23" i="1" s="1"/>
  <c r="P23" i="1"/>
  <c r="B23" i="1"/>
  <c r="AC22" i="1"/>
  <c r="AD22" i="1" s="1"/>
  <c r="P22" i="1"/>
  <c r="B22" i="1"/>
  <c r="AD21" i="1"/>
  <c r="AC21" i="1"/>
  <c r="P21" i="1"/>
  <c r="B21" i="1"/>
  <c r="AC20" i="1"/>
  <c r="AC19" i="1" s="1"/>
  <c r="P20" i="1"/>
  <c r="B20" i="1"/>
  <c r="AE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P24" i="1" s="1"/>
  <c r="O19" i="1"/>
  <c r="N19" i="1"/>
  <c r="M19" i="1"/>
  <c r="L19" i="1"/>
  <c r="L24" i="1" s="1"/>
  <c r="K19" i="1"/>
  <c r="J19" i="1"/>
  <c r="J24" i="1" s="1"/>
  <c r="I19" i="1"/>
  <c r="H19" i="1"/>
  <c r="G19" i="1"/>
  <c r="F19" i="1"/>
  <c r="E19" i="1"/>
  <c r="D19" i="1"/>
  <c r="D24" i="1" s="1"/>
  <c r="C19" i="1"/>
  <c r="AE18" i="1"/>
  <c r="AC18" i="1"/>
  <c r="AD18" i="1" s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E24" i="1" s="1"/>
  <c r="D18" i="1"/>
  <c r="C18" i="1"/>
  <c r="AC17" i="1"/>
  <c r="AD17" i="1" s="1"/>
  <c r="P17" i="1"/>
  <c r="B17" i="1"/>
  <c r="AE16" i="1"/>
  <c r="AC16" i="1"/>
  <c r="AD16" i="1" s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D15" i="1"/>
  <c r="AC15" i="1"/>
  <c r="AC13" i="1" s="1"/>
  <c r="AD13" i="1" s="1"/>
  <c r="P15" i="1"/>
  <c r="B15" i="1"/>
  <c r="AD14" i="1"/>
  <c r="AC14" i="1"/>
  <c r="P14" i="1"/>
  <c r="P13" i="1" s="1"/>
  <c r="B14" i="1"/>
  <c r="AE13" i="1"/>
  <c r="AB13" i="1"/>
  <c r="AA13" i="1"/>
  <c r="Z13" i="1"/>
  <c r="Y13" i="1"/>
  <c r="Y24" i="1" s="1"/>
  <c r="X13" i="1"/>
  <c r="W13" i="1"/>
  <c r="V13" i="1"/>
  <c r="U13" i="1"/>
  <c r="T13" i="1"/>
  <c r="S13" i="1"/>
  <c r="R13" i="1"/>
  <c r="R24" i="1" s="1"/>
  <c r="Q13" i="1"/>
  <c r="O13" i="1"/>
  <c r="N13" i="1"/>
  <c r="M13" i="1"/>
  <c r="M24" i="1" s="1"/>
  <c r="L13" i="1"/>
  <c r="K13" i="1"/>
  <c r="J13" i="1"/>
  <c r="I13" i="1"/>
  <c r="H13" i="1"/>
  <c r="G13" i="1"/>
  <c r="F13" i="1"/>
  <c r="E13" i="1"/>
  <c r="D13" i="1"/>
  <c r="C13" i="1"/>
  <c r="X24" i="1" l="1"/>
  <c r="X105" i="1" s="1"/>
  <c r="Q24" i="1"/>
  <c r="AB24" i="1"/>
  <c r="AE24" i="1"/>
  <c r="N24" i="1"/>
  <c r="C24" i="1"/>
  <c r="O24" i="1"/>
  <c r="F24" i="1"/>
  <c r="F105" i="1" s="1"/>
  <c r="Z24" i="1"/>
  <c r="AA24" i="1"/>
  <c r="U24" i="1"/>
  <c r="K24" i="1"/>
  <c r="K105" i="1" s="1"/>
  <c r="W24" i="1"/>
  <c r="W105" i="1" s="1"/>
  <c r="G24" i="1"/>
  <c r="S24" i="1"/>
  <c r="T24" i="1"/>
  <c r="V24" i="1"/>
  <c r="I24" i="1"/>
  <c r="H24" i="1"/>
  <c r="Y99" i="1"/>
  <c r="Y105" i="1" s="1"/>
  <c r="V99" i="1"/>
  <c r="AA99" i="1"/>
  <c r="D99" i="1"/>
  <c r="D105" i="1" s="1"/>
  <c r="AB99" i="1"/>
  <c r="AB105" i="1" s="1"/>
  <c r="E99" i="1"/>
  <c r="E105" i="1" s="1"/>
  <c r="G99" i="1"/>
  <c r="G105" i="1" s="1"/>
  <c r="S99" i="1"/>
  <c r="J105" i="1"/>
  <c r="Z99" i="1"/>
  <c r="C99" i="1"/>
  <c r="C105" i="1" s="1"/>
  <c r="O99" i="1"/>
  <c r="O105" i="1" s="1"/>
  <c r="P99" i="1"/>
  <c r="Q99" i="1"/>
  <c r="Q105" i="1" s="1"/>
  <c r="R99" i="1"/>
  <c r="AE99" i="1"/>
  <c r="AE105" i="1" s="1"/>
  <c r="H99" i="1"/>
  <c r="T99" i="1"/>
  <c r="N99" i="1"/>
  <c r="N105" i="1" s="1"/>
  <c r="AC99" i="1"/>
  <c r="F99" i="1"/>
  <c r="I99" i="1"/>
  <c r="U99" i="1"/>
  <c r="AD28" i="1"/>
  <c r="AD99" i="1" s="1"/>
  <c r="L105" i="1"/>
  <c r="M105" i="1"/>
  <c r="AD19" i="1"/>
  <c r="AD24" i="1" s="1"/>
  <c r="AC24" i="1"/>
  <c r="AC105" i="1" s="1"/>
  <c r="P105" i="1"/>
  <c r="R105" i="1"/>
  <c r="AD20" i="1"/>
  <c r="AD103" i="1"/>
  <c r="U105" i="1" l="1"/>
  <c r="AA105" i="1"/>
  <c r="Z105" i="1"/>
  <c r="S105" i="1"/>
  <c r="V105" i="1"/>
  <c r="I105" i="1"/>
  <c r="T105" i="1"/>
  <c r="H105" i="1"/>
  <c r="AD105" i="1"/>
</calcChain>
</file>

<file path=xl/sharedStrings.xml><?xml version="1.0" encoding="utf-8"?>
<sst xmlns="http://schemas.openxmlformats.org/spreadsheetml/2006/main" count="32" uniqueCount="28">
  <si>
    <t>Inntekter</t>
  </si>
  <si>
    <t>Resultat</t>
  </si>
  <si>
    <t>hittil i fjor</t>
  </si>
  <si>
    <t>Lønnskostnader</t>
  </si>
  <si>
    <t>Sum Driftskostnader</t>
  </si>
  <si>
    <t>Hittil I år</t>
  </si>
  <si>
    <t>Tilskudd</t>
  </si>
  <si>
    <t>Leieinntekter</t>
  </si>
  <si>
    <t>Sum Driftsinntekter</t>
  </si>
  <si>
    <t>Andre Kostnader</t>
  </si>
  <si>
    <t>Forsikring m.m.</t>
  </si>
  <si>
    <t>Andre inntekter</t>
  </si>
  <si>
    <t>Hele året</t>
  </si>
  <si>
    <t>Avvik</t>
  </si>
  <si>
    <t>Salgsinntekter</t>
  </si>
  <si>
    <t>Budsjett</t>
  </si>
  <si>
    <t>Norges Hundekjørerforbund</t>
  </si>
  <si>
    <t>Regnskap</t>
  </si>
  <si>
    <t>Sponsorkostnader</t>
  </si>
  <si>
    <t>Reklame/annonser</t>
  </si>
  <si>
    <t>Kontingenter/Gaver</t>
  </si>
  <si>
    <t>Varekostnader</t>
  </si>
  <si>
    <t>Kostnader</t>
  </si>
  <si>
    <t>Finansposter</t>
  </si>
  <si>
    <t>Reisekostnader</t>
  </si>
  <si>
    <t>Det viser pr. i dag et overskudd på kr. 192329,-</t>
  </si>
  <si>
    <t>Faktura 100635 til Femundløpet på kr. 520200,- med forfall 18/4-25 er ikke betalt.</t>
  </si>
  <si>
    <t>Inngående lev. faktura nr. 10040 fra Femundløpet AS på kr.  156600,- er mottatt og ikke godkjent.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</si>
</sst>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theme="0" tint="-0.49995422223578601"/>
      <name val="Calibri"/>
      <family val="2"/>
      <scheme val="minor"/>
    </font>
    <font>
      <b/>
      <i/>
      <sz val="20"/>
      <color theme="0" tint="-0.4999542222357860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4242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54222235786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9" fillId="0" borderId="0" applyFont="0" applyFill="0" applyBorder="0" applyAlignment="0" applyProtection="0"/>
  </cellStyleXfs>
  <cellXfs count="34">
    <xf numFmtId="0" fontId="0" fillId="0" borderId="0" xfId="0"/>
    <xf numFmtId="164" fontId="0" fillId="2" borderId="1" xfId="1" applyNumberFormat="1" applyFont="1" applyFill="1" applyBorder="1"/>
    <xf numFmtId="164" fontId="0" fillId="3" borderId="1" xfId="0" applyNumberFormat="1" applyFill="1" applyBorder="1"/>
    <xf numFmtId="0" fontId="0" fillId="0" borderId="1" xfId="0" applyBorder="1"/>
    <xf numFmtId="166" fontId="1" fillId="4" borderId="2" xfId="1" applyNumberFormat="1" applyFont="1" applyFill="1" applyBorder="1"/>
    <xf numFmtId="166" fontId="2" fillId="4" borderId="3" xfId="1" applyNumberFormat="1" applyFont="1" applyFill="1" applyBorder="1"/>
    <xf numFmtId="165" fontId="3" fillId="4" borderId="4" xfId="0" applyNumberFormat="1" applyFont="1" applyFill="1" applyBorder="1"/>
    <xf numFmtId="0" fontId="3" fillId="4" borderId="4" xfId="0" applyFont="1" applyFill="1" applyBorder="1"/>
    <xf numFmtId="166" fontId="4" fillId="4" borderId="3" xfId="1" applyNumberFormat="1" applyFont="1" applyFill="1" applyBorder="1"/>
    <xf numFmtId="0" fontId="5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5" fillId="5" borderId="1" xfId="0" applyFont="1" applyFill="1" applyBorder="1"/>
    <xf numFmtId="164" fontId="0" fillId="3" borderId="0" xfId="0" applyNumberFormat="1" applyFill="1"/>
    <xf numFmtId="0" fontId="0" fillId="3" borderId="1" xfId="0" applyFill="1" applyBorder="1"/>
    <xf numFmtId="164" fontId="0" fillId="2" borderId="0" xfId="1" applyNumberFormat="1" applyFont="1" applyFill="1" applyBorder="1"/>
    <xf numFmtId="164" fontId="0" fillId="3" borderId="5" xfId="0" applyNumberFormat="1" applyFill="1" applyBorder="1"/>
    <xf numFmtId="0" fontId="0" fillId="2" borderId="1" xfId="0" applyFill="1" applyBorder="1"/>
    <xf numFmtId="0" fontId="1" fillId="4" borderId="1" xfId="0" applyFont="1" applyFill="1" applyBorder="1" applyAlignment="1">
      <alignment horizontal="center" wrapText="1"/>
    </xf>
    <xf numFmtId="0" fontId="3" fillId="4" borderId="6" xfId="0" applyFont="1" applyFill="1" applyBorder="1"/>
    <xf numFmtId="0" fontId="0" fillId="0" borderId="5" xfId="0" applyBorder="1"/>
    <xf numFmtId="0" fontId="6" fillId="4" borderId="4" xfId="0" applyFont="1" applyFill="1" applyBorder="1"/>
    <xf numFmtId="0" fontId="2" fillId="4" borderId="3" xfId="0" applyFont="1" applyFill="1" applyBorder="1"/>
    <xf numFmtId="166" fontId="4" fillId="4" borderId="7" xfId="1" applyNumberFormat="1" applyFont="1" applyFill="1" applyBorder="1"/>
    <xf numFmtId="0" fontId="7" fillId="0" borderId="0" xfId="0" applyFont="1" applyAlignment="1">
      <alignment horizontal="left"/>
    </xf>
    <xf numFmtId="0" fontId="5" fillId="5" borderId="0" xfId="0" applyFont="1" applyFill="1" applyAlignment="1">
      <alignment horizontal="center"/>
    </xf>
    <xf numFmtId="166" fontId="2" fillId="4" borderId="8" xfId="1" applyNumberFormat="1" applyFont="1" applyFill="1" applyBorder="1"/>
    <xf numFmtId="0" fontId="8" fillId="0" borderId="0" xfId="0" applyFont="1" applyAlignment="1">
      <alignment horizontal="left"/>
    </xf>
    <xf numFmtId="0" fontId="1" fillId="4" borderId="2" xfId="0" applyFont="1" applyFill="1" applyBorder="1"/>
    <xf numFmtId="166" fontId="4" fillId="4" borderId="8" xfId="1" applyNumberFormat="1" applyFont="1" applyFill="1" applyBorder="1"/>
    <xf numFmtId="0" fontId="4" fillId="4" borderId="3" xfId="0" applyFont="1" applyFill="1" applyBorder="1"/>
    <xf numFmtId="0" fontId="1" fillId="4" borderId="0" xfId="0" applyFont="1" applyFill="1" applyAlignment="1">
      <alignment horizontal="center" wrapText="1"/>
    </xf>
    <xf numFmtId="0" fontId="5" fillId="5" borderId="9" xfId="0" applyFont="1" applyFill="1" applyBorder="1"/>
    <xf numFmtId="0" fontId="10" fillId="0" borderId="0" xfId="0" applyFont="1" applyAlignment="1">
      <alignment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E111"/>
  <sheetViews>
    <sheetView tabSelected="1" workbookViewId="0">
      <selection activeCell="AI9" sqref="AI9"/>
    </sheetView>
  </sheetViews>
  <sheetFormatPr baseColWidth="10" defaultColWidth="9.1796875" defaultRowHeight="14.5" outlineLevelRow="1" outlineLevelCol="1" x14ac:dyDescent="0.35"/>
  <cols>
    <col min="2" max="2" width="39.453125" customWidth="1"/>
    <col min="3" max="14" width="9.1796875" hidden="1" customWidth="1" outlineLevel="1"/>
    <col min="15" max="15" width="11.7265625" customWidth="1" collapsed="1"/>
    <col min="16" max="16" width="11.7265625" customWidth="1"/>
    <col min="17" max="28" width="11.7265625" hidden="1" customWidth="1" outlineLevel="1"/>
    <col min="29" max="29" width="11.7265625" customWidth="1" collapsed="1"/>
    <col min="30" max="30" width="11.7265625" hidden="1" customWidth="1"/>
    <col min="31" max="31" width="11.7265625" customWidth="1"/>
  </cols>
  <sheetData>
    <row r="4" spans="2:31" ht="26" x14ac:dyDescent="0.6">
      <c r="B4" s="27" t="s">
        <v>16</v>
      </c>
    </row>
    <row r="5" spans="2:31" ht="21" x14ac:dyDescent="0.5">
      <c r="B5" s="24">
        <v>202512</v>
      </c>
    </row>
    <row r="9" spans="2:31" ht="15.5" x14ac:dyDescent="0.35">
      <c r="B9" s="3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9" t="s">
        <v>17</v>
      </c>
      <c r="P9" s="9" t="s">
        <v>15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 t="s">
        <v>15</v>
      </c>
      <c r="AD9" s="25"/>
      <c r="AE9" s="9" t="s">
        <v>17</v>
      </c>
    </row>
    <row r="10" spans="2:31" ht="15.5" x14ac:dyDescent="0.35">
      <c r="B10" s="10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10">
        <v>11</v>
      </c>
      <c r="N10" s="10">
        <v>12</v>
      </c>
      <c r="O10" s="18" t="s">
        <v>5</v>
      </c>
      <c r="P10" s="18" t="s">
        <v>5</v>
      </c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11">
        <v>11</v>
      </c>
      <c r="AB10" s="11">
        <v>12</v>
      </c>
      <c r="AC10" s="18" t="s">
        <v>12</v>
      </c>
      <c r="AD10" s="31" t="s">
        <v>13</v>
      </c>
      <c r="AE10" s="18" t="s">
        <v>2</v>
      </c>
    </row>
    <row r="11" spans="2:3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E11" s="3"/>
    </row>
    <row r="12" spans="2:31" ht="21" x14ac:dyDescent="0.5">
      <c r="B12" s="21" t="s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19"/>
      <c r="AE12" s="7"/>
    </row>
    <row r="13" spans="2:31" x14ac:dyDescent="0.35">
      <c r="B13" s="17" t="s">
        <v>14</v>
      </c>
      <c r="C13" s="1">
        <f t="shared" ref="C13:AC13" si="0">SUM(C14:C15)</f>
        <v>0</v>
      </c>
      <c r="D13" s="1">
        <f t="shared" si="0"/>
        <v>0</v>
      </c>
      <c r="E13" s="1">
        <f t="shared" si="0"/>
        <v>0</v>
      </c>
      <c r="F13" s="1">
        <f t="shared" si="0"/>
        <v>-307800</v>
      </c>
      <c r="G13" s="1">
        <f t="shared" si="0"/>
        <v>0</v>
      </c>
      <c r="H13" s="1">
        <f t="shared" si="0"/>
        <v>0</v>
      </c>
      <c r="I13" s="1">
        <f t="shared" si="0"/>
        <v>0</v>
      </c>
      <c r="J13" s="1">
        <f t="shared" si="0"/>
        <v>0</v>
      </c>
      <c r="K13" s="1">
        <f t="shared" si="0"/>
        <v>0</v>
      </c>
      <c r="L13" s="1">
        <f t="shared" si="0"/>
        <v>0</v>
      </c>
      <c r="M13" s="1">
        <f t="shared" si="0"/>
        <v>0</v>
      </c>
      <c r="N13" s="1">
        <f t="shared" si="0"/>
        <v>0</v>
      </c>
      <c r="O13" s="1">
        <f t="shared" si="0"/>
        <v>-307800</v>
      </c>
      <c r="P13" s="1">
        <f t="shared" si="0"/>
        <v>0</v>
      </c>
      <c r="Q13" s="1">
        <f t="shared" si="0"/>
        <v>0</v>
      </c>
      <c r="R13" s="1">
        <f t="shared" si="0"/>
        <v>0</v>
      </c>
      <c r="S13" s="1">
        <f t="shared" si="0"/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0"/>
        <v>0</v>
      </c>
      <c r="X13" s="1">
        <f t="shared" si="0"/>
        <v>0</v>
      </c>
      <c r="Y13" s="1">
        <f t="shared" si="0"/>
        <v>0</v>
      </c>
      <c r="Z13" s="1">
        <f t="shared" si="0"/>
        <v>0</v>
      </c>
      <c r="AA13" s="1">
        <f t="shared" si="0"/>
        <v>0</v>
      </c>
      <c r="AB13" s="1">
        <f t="shared" si="0"/>
        <v>0</v>
      </c>
      <c r="AC13" s="1">
        <f t="shared" si="0"/>
        <v>0</v>
      </c>
      <c r="AD13" s="15">
        <f>SUM(AC13)</f>
        <v>0</v>
      </c>
      <c r="AE13" s="1">
        <f>SUM(AE14:AE15)</f>
        <v>-28000</v>
      </c>
    </row>
    <row r="14" spans="2:31" hidden="1" outlineLevel="1" x14ac:dyDescent="0.35">
      <c r="B14" s="14" t="str">
        <f>"3120"&amp;" - "&amp;"Sponsorinntekt, avgiftsfri"</f>
        <v>3120 - Sponsorinntekt, avgiftsfri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f t="shared" ref="P14:P15" si="1">0*(-1)</f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>
        <f t="shared" ref="AC14:AC15" si="2">0*(-1)</f>
        <v>0</v>
      </c>
      <c r="AD14" s="13">
        <f t="shared" ref="AD14:AD15" si="3">AC14-O14</f>
        <v>0</v>
      </c>
      <c r="AE14" s="16">
        <v>-28000</v>
      </c>
    </row>
    <row r="15" spans="2:31" hidden="1" outlineLevel="1" x14ac:dyDescent="0.35">
      <c r="B15" s="14" t="str">
        <f>"3200"&amp;" - "&amp;"Salgsinntekter, utenfor avg.omr."</f>
        <v>3200 - Salgsinntekter, utenfor avg.omr.</v>
      </c>
      <c r="C15" s="2"/>
      <c r="D15" s="2"/>
      <c r="E15" s="2"/>
      <c r="F15" s="2">
        <v>-307800</v>
      </c>
      <c r="G15" s="2"/>
      <c r="H15" s="2"/>
      <c r="I15" s="2"/>
      <c r="J15" s="2"/>
      <c r="K15" s="2"/>
      <c r="L15" s="2"/>
      <c r="M15" s="2"/>
      <c r="N15" s="2"/>
      <c r="O15" s="2">
        <v>-307800</v>
      </c>
      <c r="P15" s="2">
        <f t="shared" si="1"/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f t="shared" si="2"/>
        <v>0</v>
      </c>
      <c r="AD15" s="13">
        <f t="shared" si="3"/>
        <v>307800</v>
      </c>
      <c r="AE15" s="16"/>
    </row>
    <row r="16" spans="2:31" collapsed="1" x14ac:dyDescent="0.35">
      <c r="B16" s="17" t="s">
        <v>6</v>
      </c>
      <c r="C16" s="1">
        <f t="shared" ref="C16:AC16" si="4">SUM(C17)</f>
        <v>0</v>
      </c>
      <c r="D16" s="1">
        <f t="shared" si="4"/>
        <v>-1206179</v>
      </c>
      <c r="E16" s="1">
        <f t="shared" si="4"/>
        <v>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f t="shared" si="4"/>
        <v>0</v>
      </c>
      <c r="J16" s="1">
        <f t="shared" si="4"/>
        <v>0</v>
      </c>
      <c r="K16" s="1">
        <f t="shared" si="4"/>
        <v>0</v>
      </c>
      <c r="L16" s="1">
        <f t="shared" si="4"/>
        <v>0</v>
      </c>
      <c r="M16" s="1">
        <f t="shared" si="4"/>
        <v>0</v>
      </c>
      <c r="N16" s="1">
        <f t="shared" si="4"/>
        <v>0</v>
      </c>
      <c r="O16" s="1">
        <f t="shared" si="4"/>
        <v>-1206179</v>
      </c>
      <c r="P16" s="1">
        <f t="shared" si="4"/>
        <v>0</v>
      </c>
      <c r="Q16" s="1">
        <f t="shared" si="4"/>
        <v>0</v>
      </c>
      <c r="R16" s="1">
        <f t="shared" si="4"/>
        <v>0</v>
      </c>
      <c r="S16" s="1">
        <f t="shared" si="4"/>
        <v>0</v>
      </c>
      <c r="T16" s="1">
        <f t="shared" si="4"/>
        <v>0</v>
      </c>
      <c r="U16" s="1">
        <f t="shared" si="4"/>
        <v>0</v>
      </c>
      <c r="V16" s="1">
        <f t="shared" si="4"/>
        <v>0</v>
      </c>
      <c r="W16" s="1">
        <f t="shared" si="4"/>
        <v>0</v>
      </c>
      <c r="X16" s="1">
        <f t="shared" si="4"/>
        <v>0</v>
      </c>
      <c r="Y16" s="1">
        <f t="shared" si="4"/>
        <v>0</v>
      </c>
      <c r="Z16" s="1">
        <f t="shared" si="4"/>
        <v>0</v>
      </c>
      <c r="AA16" s="1">
        <f t="shared" si="4"/>
        <v>0</v>
      </c>
      <c r="AB16" s="1">
        <f t="shared" si="4"/>
        <v>0</v>
      </c>
      <c r="AC16" s="1">
        <f t="shared" si="4"/>
        <v>0</v>
      </c>
      <c r="AD16" s="15">
        <f>SUM(AC16)</f>
        <v>0</v>
      </c>
      <c r="AE16" s="1">
        <f>SUM(AE17)</f>
        <v>-1193821</v>
      </c>
    </row>
    <row r="17" spans="2:31" hidden="1" outlineLevel="1" x14ac:dyDescent="0.35">
      <c r="B17" s="14" t="str">
        <f>"3400"&amp;" - "&amp;"Offentlige tilskudd"</f>
        <v>3400 - Offentlige tilskudd</v>
      </c>
      <c r="C17" s="2"/>
      <c r="D17" s="2">
        <v>-1206179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>
        <v>-1206179</v>
      </c>
      <c r="P17" s="2">
        <f>0*(-1)</f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>
        <f>0*(-1)</f>
        <v>0</v>
      </c>
      <c r="AD17" s="13">
        <f>AC17-O17</f>
        <v>1206179</v>
      </c>
      <c r="AE17" s="16">
        <v>-1193821</v>
      </c>
    </row>
    <row r="18" spans="2:31" collapsed="1" x14ac:dyDescent="0.35">
      <c r="B18" s="17" t="s">
        <v>7</v>
      </c>
      <c r="C18" s="1">
        <f t="shared" ref="C18:AC18" si="5">SUM(0)</f>
        <v>0</v>
      </c>
      <c r="D18" s="1">
        <f t="shared" si="5"/>
        <v>0</v>
      </c>
      <c r="E18" s="1">
        <f t="shared" si="5"/>
        <v>0</v>
      </c>
      <c r="F18" s="1">
        <f t="shared" si="5"/>
        <v>0</v>
      </c>
      <c r="G18" s="1">
        <f t="shared" si="5"/>
        <v>0</v>
      </c>
      <c r="H18" s="1">
        <f t="shared" si="5"/>
        <v>0</v>
      </c>
      <c r="I18" s="1">
        <f t="shared" si="5"/>
        <v>0</v>
      </c>
      <c r="J18" s="1">
        <f t="shared" si="5"/>
        <v>0</v>
      </c>
      <c r="K18" s="1">
        <f t="shared" si="5"/>
        <v>0</v>
      </c>
      <c r="L18" s="1">
        <f t="shared" si="5"/>
        <v>0</v>
      </c>
      <c r="M18" s="1">
        <f t="shared" si="5"/>
        <v>0</v>
      </c>
      <c r="N18" s="1">
        <f t="shared" si="5"/>
        <v>0</v>
      </c>
      <c r="O18" s="1">
        <f t="shared" si="5"/>
        <v>0</v>
      </c>
      <c r="P18" s="1">
        <f t="shared" si="5"/>
        <v>0</v>
      </c>
      <c r="Q18" s="1">
        <f t="shared" si="5"/>
        <v>0</v>
      </c>
      <c r="R18" s="1">
        <f t="shared" si="5"/>
        <v>0</v>
      </c>
      <c r="S18" s="1">
        <f t="shared" si="5"/>
        <v>0</v>
      </c>
      <c r="T18" s="1">
        <f t="shared" si="5"/>
        <v>0</v>
      </c>
      <c r="U18" s="1">
        <f t="shared" si="5"/>
        <v>0</v>
      </c>
      <c r="V18" s="1">
        <f t="shared" si="5"/>
        <v>0</v>
      </c>
      <c r="W18" s="1">
        <f t="shared" si="5"/>
        <v>0</v>
      </c>
      <c r="X18" s="1">
        <f t="shared" si="5"/>
        <v>0</v>
      </c>
      <c r="Y18" s="1">
        <f t="shared" si="5"/>
        <v>0</v>
      </c>
      <c r="Z18" s="1">
        <f t="shared" si="5"/>
        <v>0</v>
      </c>
      <c r="AA18" s="1">
        <f t="shared" si="5"/>
        <v>0</v>
      </c>
      <c r="AB18" s="1">
        <f t="shared" si="5"/>
        <v>0</v>
      </c>
      <c r="AC18" s="1">
        <f t="shared" si="5"/>
        <v>0</v>
      </c>
      <c r="AD18" s="15">
        <f>SUM(AC18)</f>
        <v>0</v>
      </c>
      <c r="AE18" s="1">
        <f>SUM(0)</f>
        <v>0</v>
      </c>
    </row>
    <row r="19" spans="2:31" x14ac:dyDescent="0.35">
      <c r="B19" s="17" t="s">
        <v>11</v>
      </c>
      <c r="C19" s="1">
        <f t="shared" ref="C19:AC19" si="6">SUM(C20:C23)</f>
        <v>0</v>
      </c>
      <c r="D19" s="1">
        <f t="shared" si="6"/>
        <v>-5913</v>
      </c>
      <c r="E19" s="1">
        <f t="shared" si="6"/>
        <v>-482093.38</v>
      </c>
      <c r="F19" s="1">
        <f t="shared" si="6"/>
        <v>-485980.72</v>
      </c>
      <c r="G19" s="1">
        <f t="shared" si="6"/>
        <v>0</v>
      </c>
      <c r="H19" s="1">
        <f t="shared" si="6"/>
        <v>0</v>
      </c>
      <c r="I19" s="1">
        <f t="shared" si="6"/>
        <v>0</v>
      </c>
      <c r="J19" s="1">
        <f t="shared" si="6"/>
        <v>0</v>
      </c>
      <c r="K19" s="1">
        <f t="shared" si="6"/>
        <v>0</v>
      </c>
      <c r="L19" s="1">
        <f t="shared" si="6"/>
        <v>0</v>
      </c>
      <c r="M19" s="1">
        <f t="shared" si="6"/>
        <v>0</v>
      </c>
      <c r="N19" s="1">
        <f t="shared" si="6"/>
        <v>0</v>
      </c>
      <c r="O19" s="1">
        <f t="shared" si="6"/>
        <v>-973987.1</v>
      </c>
      <c r="P19" s="1">
        <f t="shared" si="6"/>
        <v>-1202497</v>
      </c>
      <c r="Q19" s="1">
        <f t="shared" si="6"/>
        <v>1202497</v>
      </c>
      <c r="R19" s="1">
        <f t="shared" si="6"/>
        <v>0</v>
      </c>
      <c r="S19" s="1">
        <f t="shared" si="6"/>
        <v>0</v>
      </c>
      <c r="T19" s="1">
        <f t="shared" si="6"/>
        <v>0</v>
      </c>
      <c r="U19" s="1">
        <f t="shared" si="6"/>
        <v>0</v>
      </c>
      <c r="V19" s="1">
        <f t="shared" si="6"/>
        <v>0</v>
      </c>
      <c r="W19" s="1">
        <f t="shared" si="6"/>
        <v>0</v>
      </c>
      <c r="X19" s="1">
        <f t="shared" si="6"/>
        <v>0</v>
      </c>
      <c r="Y19" s="1">
        <f t="shared" si="6"/>
        <v>0</v>
      </c>
      <c r="Z19" s="1">
        <f t="shared" si="6"/>
        <v>0</v>
      </c>
      <c r="AA19" s="1">
        <f t="shared" si="6"/>
        <v>0</v>
      </c>
      <c r="AB19" s="1">
        <f t="shared" si="6"/>
        <v>0</v>
      </c>
      <c r="AC19" s="1">
        <f t="shared" si="6"/>
        <v>-1202497</v>
      </c>
      <c r="AD19" s="15">
        <f>SUM(AC19)</f>
        <v>-1202497</v>
      </c>
      <c r="AE19" s="1">
        <f>SUM(AE20:AE23)</f>
        <v>0</v>
      </c>
    </row>
    <row r="20" spans="2:31" hidden="1" outlineLevel="1" x14ac:dyDescent="0.35">
      <c r="B20" s="14" t="str">
        <f>"3915"&amp;" - "&amp;"Påmeldingsinntekter arrangementer"</f>
        <v>3915 - Påmeldingsinntekter arrangementer</v>
      </c>
      <c r="C20" s="2"/>
      <c r="D20" s="2"/>
      <c r="E20" s="2">
        <v>-261083.55</v>
      </c>
      <c r="F20" s="2"/>
      <c r="G20" s="2"/>
      <c r="H20" s="2"/>
      <c r="I20" s="2"/>
      <c r="J20" s="2"/>
      <c r="K20" s="2"/>
      <c r="L20" s="2"/>
      <c r="M20" s="2"/>
      <c r="N20" s="2"/>
      <c r="O20" s="2">
        <v>-261083.55</v>
      </c>
      <c r="P20" s="2">
        <f t="shared" ref="P20:P22" si="7">0*(-1)</f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>
        <f t="shared" ref="AC20:AC22" si="8">0*(-1)</f>
        <v>0</v>
      </c>
      <c r="AD20" s="13">
        <f t="shared" ref="AD20:AD23" si="9">AC20-O20</f>
        <v>261083.55</v>
      </c>
      <c r="AE20" s="16"/>
    </row>
    <row r="21" spans="2:31" hidden="1" outlineLevel="1" x14ac:dyDescent="0.35">
      <c r="B21" s="14" t="str">
        <f>"3940"&amp;" - "&amp;"Billetter arrangementer"</f>
        <v>3940 - Billetter arrangementer</v>
      </c>
      <c r="C21" s="2"/>
      <c r="D21" s="2"/>
      <c r="E21" s="2"/>
      <c r="F21" s="2">
        <v>-260000</v>
      </c>
      <c r="G21" s="2"/>
      <c r="H21" s="2"/>
      <c r="I21" s="2"/>
      <c r="J21" s="2"/>
      <c r="K21" s="2"/>
      <c r="L21" s="2"/>
      <c r="M21" s="2"/>
      <c r="N21" s="2"/>
      <c r="O21" s="2">
        <v>-260000</v>
      </c>
      <c r="P21" s="2">
        <f t="shared" si="7"/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>
        <f t="shared" si="8"/>
        <v>0</v>
      </c>
      <c r="AD21" s="13">
        <f t="shared" si="9"/>
        <v>260000</v>
      </c>
      <c r="AE21" s="16"/>
    </row>
    <row r="22" spans="2:31" hidden="1" outlineLevel="1" x14ac:dyDescent="0.35">
      <c r="B22" s="14" t="str">
        <f>"3990"&amp;" - "&amp;"Andre inntekter"</f>
        <v>3990 - Andre inntekter</v>
      </c>
      <c r="C22" s="2"/>
      <c r="D22" s="2">
        <v>-5913</v>
      </c>
      <c r="E22" s="2">
        <v>-221009.83</v>
      </c>
      <c r="F22" s="2">
        <v>-225980.72</v>
      </c>
      <c r="G22" s="2"/>
      <c r="H22" s="2"/>
      <c r="I22" s="2"/>
      <c r="J22" s="2"/>
      <c r="K22" s="2"/>
      <c r="L22" s="2"/>
      <c r="M22" s="2"/>
      <c r="N22" s="2"/>
      <c r="O22" s="2">
        <v>-452903.55</v>
      </c>
      <c r="P22" s="2">
        <f t="shared" si="7"/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>
        <f t="shared" si="8"/>
        <v>0</v>
      </c>
      <c r="AD22" s="13">
        <f t="shared" si="9"/>
        <v>452903.55</v>
      </c>
      <c r="AE22" s="16"/>
    </row>
    <row r="23" spans="2:31" hidden="1" outlineLevel="1" x14ac:dyDescent="0.35">
      <c r="B23" s="14" t="str">
        <f>"3999"&amp;" - "&amp;"Budsjetterte inntekter"</f>
        <v>3999 - Budsjetterte inntekter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>
        <f>1202497*(-1)</f>
        <v>-1202497</v>
      </c>
      <c r="Q23" s="2">
        <v>1202497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f>1202497*(-1)</f>
        <v>-1202497</v>
      </c>
      <c r="AD23" s="13">
        <f t="shared" si="9"/>
        <v>-1202497</v>
      </c>
      <c r="AE23" s="16"/>
    </row>
    <row r="24" spans="2:31" collapsed="1" x14ac:dyDescent="0.35">
      <c r="B24" s="22" t="s">
        <v>8</v>
      </c>
      <c r="C24" s="5">
        <f t="shared" ref="C24:AE24" si="10">C19+C18+C16+C13</f>
        <v>0</v>
      </c>
      <c r="D24" s="5">
        <f t="shared" si="10"/>
        <v>-1212092</v>
      </c>
      <c r="E24" s="5">
        <f t="shared" si="10"/>
        <v>-482093.38</v>
      </c>
      <c r="F24" s="5">
        <f t="shared" si="10"/>
        <v>-793780.72</v>
      </c>
      <c r="G24" s="5">
        <f t="shared" si="10"/>
        <v>0</v>
      </c>
      <c r="H24" s="5">
        <f t="shared" si="10"/>
        <v>0</v>
      </c>
      <c r="I24" s="5">
        <f t="shared" si="10"/>
        <v>0</v>
      </c>
      <c r="J24" s="5">
        <f t="shared" si="10"/>
        <v>0</v>
      </c>
      <c r="K24" s="5">
        <f t="shared" si="10"/>
        <v>0</v>
      </c>
      <c r="L24" s="5">
        <f t="shared" si="10"/>
        <v>0</v>
      </c>
      <c r="M24" s="5">
        <f t="shared" si="10"/>
        <v>0</v>
      </c>
      <c r="N24" s="5">
        <f t="shared" si="10"/>
        <v>0</v>
      </c>
      <c r="O24" s="5">
        <f t="shared" si="10"/>
        <v>-2487966.1</v>
      </c>
      <c r="P24" s="5">
        <f t="shared" si="10"/>
        <v>-1202497</v>
      </c>
      <c r="Q24" s="5">
        <f t="shared" si="10"/>
        <v>1202497</v>
      </c>
      <c r="R24" s="5">
        <f t="shared" si="10"/>
        <v>0</v>
      </c>
      <c r="S24" s="5">
        <f t="shared" si="10"/>
        <v>0</v>
      </c>
      <c r="T24" s="5">
        <f t="shared" si="10"/>
        <v>0</v>
      </c>
      <c r="U24" s="5">
        <f t="shared" si="10"/>
        <v>0</v>
      </c>
      <c r="V24" s="5">
        <f t="shared" si="10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-1202497</v>
      </c>
      <c r="AD24" s="26">
        <f t="shared" si="10"/>
        <v>-1202497</v>
      </c>
      <c r="AE24" s="5">
        <f t="shared" si="10"/>
        <v>-1221821</v>
      </c>
    </row>
    <row r="25" spans="2:31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E25" s="20"/>
    </row>
    <row r="26" spans="2:31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E26" s="20"/>
    </row>
    <row r="27" spans="2:31" ht="21" x14ac:dyDescent="0.5">
      <c r="B27" s="21" t="s">
        <v>22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19"/>
      <c r="AE27" s="7"/>
    </row>
    <row r="28" spans="2:31" x14ac:dyDescent="0.35">
      <c r="B28" s="17" t="s">
        <v>21</v>
      </c>
      <c r="C28" s="1">
        <f t="shared" ref="C28:AC28" si="11">SUM(C29:C54)</f>
        <v>0</v>
      </c>
      <c r="D28" s="1">
        <f t="shared" si="11"/>
        <v>0</v>
      </c>
      <c r="E28" s="1">
        <f t="shared" si="11"/>
        <v>0</v>
      </c>
      <c r="F28" s="1">
        <f t="shared" si="11"/>
        <v>0</v>
      </c>
      <c r="G28" s="1">
        <f t="shared" si="11"/>
        <v>0</v>
      </c>
      <c r="H28" s="1">
        <f t="shared" si="11"/>
        <v>0</v>
      </c>
      <c r="I28" s="1">
        <f t="shared" si="11"/>
        <v>0</v>
      </c>
      <c r="J28" s="1">
        <f t="shared" si="11"/>
        <v>0</v>
      </c>
      <c r="K28" s="1">
        <f t="shared" si="11"/>
        <v>0</v>
      </c>
      <c r="L28" s="1">
        <f t="shared" si="11"/>
        <v>0</v>
      </c>
      <c r="M28" s="1">
        <f t="shared" si="11"/>
        <v>0</v>
      </c>
      <c r="N28" s="1">
        <f t="shared" si="11"/>
        <v>0</v>
      </c>
      <c r="O28" s="1">
        <f t="shared" si="11"/>
        <v>0</v>
      </c>
      <c r="P28" s="1">
        <f t="shared" si="11"/>
        <v>0</v>
      </c>
      <c r="Q28" s="1">
        <f t="shared" si="11"/>
        <v>0</v>
      </c>
      <c r="R28" s="1">
        <f t="shared" si="11"/>
        <v>0</v>
      </c>
      <c r="S28" s="1">
        <f t="shared" si="11"/>
        <v>0</v>
      </c>
      <c r="T28" s="1">
        <f t="shared" si="11"/>
        <v>0</v>
      </c>
      <c r="U28" s="1">
        <f t="shared" si="11"/>
        <v>0</v>
      </c>
      <c r="V28" s="1">
        <f t="shared" si="11"/>
        <v>0</v>
      </c>
      <c r="W28" s="1">
        <f t="shared" si="11"/>
        <v>0</v>
      </c>
      <c r="X28" s="1">
        <f t="shared" si="11"/>
        <v>0</v>
      </c>
      <c r="Y28" s="1">
        <f t="shared" si="11"/>
        <v>0</v>
      </c>
      <c r="Z28" s="1">
        <f t="shared" si="11"/>
        <v>0</v>
      </c>
      <c r="AA28" s="1">
        <f t="shared" si="11"/>
        <v>0</v>
      </c>
      <c r="AB28" s="1">
        <f t="shared" si="11"/>
        <v>0</v>
      </c>
      <c r="AC28" s="1">
        <f t="shared" si="11"/>
        <v>0</v>
      </c>
      <c r="AD28" s="15">
        <f>SUM(AC28)</f>
        <v>0</v>
      </c>
      <c r="AE28" s="1">
        <f>SUM(AE29:AE54)</f>
        <v>0</v>
      </c>
    </row>
    <row r="29" spans="2:31" hidden="1" outlineLevel="1" x14ac:dyDescent="0.35">
      <c r="B29" s="14" t="str">
        <f>"4000"&amp;" - "&amp;"Innkjøp råvarer og halvfabrikata"</f>
        <v>4000 - Innkjøp råvarer og halvfabrikata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3">
        <f t="shared" ref="AD29:AD54" si="12">AC29-O29</f>
        <v>0</v>
      </c>
      <c r="AE29" s="16"/>
    </row>
    <row r="30" spans="2:31" hidden="1" outlineLevel="1" x14ac:dyDescent="0.35">
      <c r="B30" s="14" t="str">
        <f>"4010"&amp;" - "&amp;"Innkjøp kioskvarer"</f>
        <v>4010 - Innkjøp kioskvarer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3">
        <f t="shared" si="12"/>
        <v>0</v>
      </c>
      <c r="AE30" s="16"/>
    </row>
    <row r="31" spans="2:31" hidden="1" outlineLevel="1" x14ac:dyDescent="0.35">
      <c r="B31" s="14" t="str">
        <f>"4060"&amp;" - "&amp;"Frakt, toll og spedisjon (tolldeklarasjon)"</f>
        <v>4060 - Frakt, toll og spedisjon (tolldeklarasjon)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3">
        <f t="shared" si="12"/>
        <v>0</v>
      </c>
      <c r="AE31" s="16"/>
    </row>
    <row r="32" spans="2:31" hidden="1" outlineLevel="1" x14ac:dyDescent="0.35">
      <c r="B32" s="14" t="str">
        <f>"4070"&amp;" - "&amp;"Innkjøpsprisreduksjon råvarer og halvfabrikata"</f>
        <v>4070 - Innkjøpsprisreduksjon råvarer og halvfabrikata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3">
        <f t="shared" si="12"/>
        <v>0</v>
      </c>
      <c r="AE32" s="16"/>
    </row>
    <row r="33" spans="2:31" hidden="1" outlineLevel="1" x14ac:dyDescent="0.35">
      <c r="B33" s="14" t="str">
        <f>"4090"&amp;" - "&amp;"Beholdningsendringer råvarer og halvfabrikata"</f>
        <v>4090 - Beholdningsendringer råvarer og halvfabrikata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3">
        <f t="shared" si="12"/>
        <v>0</v>
      </c>
      <c r="AE33" s="16"/>
    </row>
    <row r="34" spans="2:31" hidden="1" outlineLevel="1" x14ac:dyDescent="0.35">
      <c r="B34" s="14" t="str">
        <f>"4100"&amp;" - "&amp;"Innkjøp varer under tilvirkning"</f>
        <v>4100 - Innkjøp varer under tilvirkning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3">
        <f t="shared" si="12"/>
        <v>0</v>
      </c>
      <c r="AE34" s="16"/>
    </row>
    <row r="35" spans="2:31" hidden="1" outlineLevel="1" x14ac:dyDescent="0.35">
      <c r="B35" s="14" t="str">
        <f>"4160"&amp;" - "&amp;"Frakt, toll og spedisjon varer under tilvirkning"</f>
        <v>4160 - Frakt, toll og spedisjon varer under tilvirkning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3">
        <f t="shared" si="12"/>
        <v>0</v>
      </c>
      <c r="AE35" s="16"/>
    </row>
    <row r="36" spans="2:31" hidden="1" outlineLevel="1" x14ac:dyDescent="0.35">
      <c r="B36" s="14" t="str">
        <f>"4170"&amp;" - "&amp;"Innkjøpsprisreduksjon varer under tilvirkning"</f>
        <v>4170 - Innkjøpsprisreduksjon varer under tilvirkning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3">
        <f t="shared" si="12"/>
        <v>0</v>
      </c>
      <c r="AE36" s="16"/>
    </row>
    <row r="37" spans="2:31" hidden="1" outlineLevel="1" x14ac:dyDescent="0.35">
      <c r="B37" s="14" t="str">
        <f>"4190"&amp;" - "&amp;"Beholdningsendringer varer under tilvirkning"</f>
        <v>4190 - Beholdningsendringer varer under tilvirkning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3">
        <f t="shared" si="12"/>
        <v>0</v>
      </c>
      <c r="AE37" s="16"/>
    </row>
    <row r="38" spans="2:31" hidden="1" outlineLevel="1" x14ac:dyDescent="0.35">
      <c r="B38" s="14" t="str">
        <f>"4200"&amp;" - "&amp;"Innkjøp ferdig egentilv. varer"</f>
        <v>4200 - Innkjøp ferdig egentilv. varer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3">
        <f t="shared" si="12"/>
        <v>0</v>
      </c>
      <c r="AE38" s="16"/>
    </row>
    <row r="39" spans="2:31" hidden="1" outlineLevel="1" x14ac:dyDescent="0.35">
      <c r="B39" s="14" t="str">
        <f>"4260"&amp;" - "&amp;"Frakt, toll og spedisjon ferdig egentilv. varer"</f>
        <v>4260 - Frakt, toll og spedisjon ferdig egentilv. varer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3">
        <f t="shared" si="12"/>
        <v>0</v>
      </c>
      <c r="AE39" s="16"/>
    </row>
    <row r="40" spans="2:31" hidden="1" outlineLevel="1" x14ac:dyDescent="0.35">
      <c r="B40" s="14" t="str">
        <f>"4270"&amp;" - "&amp;"Innkjøpsprisreduksjon ferdig egentilv. varer"</f>
        <v>4270 - Innkjøpsprisreduksjon ferdig egentilv. varer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3">
        <f t="shared" si="12"/>
        <v>0</v>
      </c>
      <c r="AE40" s="16"/>
    </row>
    <row r="41" spans="2:31" hidden="1" outlineLevel="1" x14ac:dyDescent="0.35">
      <c r="B41" s="14" t="str">
        <f>"4290"&amp;" - "&amp;"Beholdningsendringer ferdig egentilv. varer"</f>
        <v>4290 - Beholdningsendringer ferdig egentilv. varer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3">
        <f t="shared" si="12"/>
        <v>0</v>
      </c>
      <c r="AE41" s="16"/>
    </row>
    <row r="42" spans="2:31" hidden="1" outlineLevel="1" x14ac:dyDescent="0.35">
      <c r="B42" s="14" t="str">
        <f>"4300"&amp;" - "&amp;"Innkj. varer for videresalg"</f>
        <v>4300 - Innkj. varer for videresalg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3">
        <f t="shared" si="12"/>
        <v>0</v>
      </c>
      <c r="AE42" s="16"/>
    </row>
    <row r="43" spans="2:31" hidden="1" outlineLevel="1" x14ac:dyDescent="0.35">
      <c r="B43" s="14" t="str">
        <f>"4330"&amp;" - "&amp;"Innkj. varer for videresalg, middels sats"</f>
        <v>4330 - Innkj. varer for videresalg, middels sats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3">
        <f t="shared" si="12"/>
        <v>0</v>
      </c>
      <c r="AE43" s="16"/>
    </row>
    <row r="44" spans="2:31" hidden="1" outlineLevel="1" x14ac:dyDescent="0.35">
      <c r="B44" s="14" t="str">
        <f>"4360"&amp;" - "&amp;"Frakt, toll og spedisjon varer for videresalg"</f>
        <v>4360 - Frakt, toll og spedisjon varer for videresalg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13">
        <f t="shared" si="12"/>
        <v>0</v>
      </c>
      <c r="AE44" s="16"/>
    </row>
    <row r="45" spans="2:31" hidden="1" outlineLevel="1" x14ac:dyDescent="0.35">
      <c r="B45" s="14" t="str">
        <f>"4370"&amp;" - "&amp;"Innkjøpsprisreduksjon varer for videresalg"</f>
        <v>4370 - Innkjøpsprisreduksjon varer for videresalg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3">
        <f t="shared" si="12"/>
        <v>0</v>
      </c>
      <c r="AE45" s="16"/>
    </row>
    <row r="46" spans="2:31" hidden="1" outlineLevel="1" x14ac:dyDescent="0.35">
      <c r="B46" s="14" t="str">
        <f>"4390"&amp;" - "&amp;"Beholdningsendring varer for videresalg"</f>
        <v>4390 - Beholdningsendring varer for videresalg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13">
        <f t="shared" si="12"/>
        <v>0</v>
      </c>
      <c r="AE46" s="16"/>
    </row>
    <row r="47" spans="2:31" hidden="1" outlineLevel="1" x14ac:dyDescent="0.35">
      <c r="B47" s="14" t="str">
        <f>"4410"&amp;" - "&amp;"Varekost ved salg"</f>
        <v>4410 - Varekost ved salg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13">
        <f t="shared" si="12"/>
        <v>0</v>
      </c>
      <c r="AE47" s="16"/>
    </row>
    <row r="48" spans="2:31" hidden="1" outlineLevel="1" x14ac:dyDescent="0.35">
      <c r="B48" s="14" t="str">
        <f>"4490"&amp;" - "&amp;"Motkonto varekost ved salg"</f>
        <v>4490 - Motkonto varekost ved salg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13">
        <f t="shared" si="12"/>
        <v>0</v>
      </c>
      <c r="AE48" s="16"/>
    </row>
    <row r="49" spans="2:31" hidden="1" outlineLevel="1" x14ac:dyDescent="0.35">
      <c r="B49" s="14" t="str">
        <f>"4500"&amp;" - "&amp;"Fremmedytelse og underentreprise"</f>
        <v>4500 - Fremmedytelse og underentreprise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13">
        <f t="shared" si="12"/>
        <v>0</v>
      </c>
      <c r="AE49" s="16"/>
    </row>
    <row r="50" spans="2:31" hidden="1" outlineLevel="1" x14ac:dyDescent="0.35">
      <c r="B50" s="14" t="str">
        <f>"4700"&amp;" - "&amp;"Beregnet prosjekt lønnskostnader"</f>
        <v>4700 - Beregnet prosjekt lønnskostnader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3">
        <f t="shared" si="12"/>
        <v>0</v>
      </c>
      <c r="AE50" s="16"/>
    </row>
    <row r="51" spans="2:31" hidden="1" outlineLevel="1" x14ac:dyDescent="0.35">
      <c r="B51" s="14" t="str">
        <f>"4710"&amp;" - "&amp;"Reise kostnader"</f>
        <v>4710 - Reise kostnader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13">
        <f t="shared" si="12"/>
        <v>0</v>
      </c>
      <c r="AE51" s="16"/>
    </row>
    <row r="52" spans="2:31" hidden="1" outlineLevel="1" x14ac:dyDescent="0.35">
      <c r="B52" s="14" t="str">
        <f>"4790"&amp;" - "&amp;"Motkonto ansatt kostnader"</f>
        <v>4790 - Motkonto ansatt kostnader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13">
        <f t="shared" si="12"/>
        <v>0</v>
      </c>
      <c r="AE52" s="16"/>
    </row>
    <row r="53" spans="2:31" hidden="1" outlineLevel="1" x14ac:dyDescent="0.35">
      <c r="B53" s="14" t="str">
        <f>"4900"&amp;" - "&amp;"Annen periodisering"</f>
        <v>4900 - Annen periodisering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3">
        <f t="shared" si="12"/>
        <v>0</v>
      </c>
      <c r="AE53" s="16"/>
    </row>
    <row r="54" spans="2:31" hidden="1" outlineLevel="1" x14ac:dyDescent="0.35">
      <c r="B54" s="14" t="str">
        <f>"4990"&amp;" - "&amp;"Beholdningsendring"</f>
        <v>4990 - Beholdningsendring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13">
        <f t="shared" si="12"/>
        <v>0</v>
      </c>
      <c r="AE54" s="16"/>
    </row>
    <row r="55" spans="2:31" collapsed="1" x14ac:dyDescent="0.35">
      <c r="B55" s="17" t="s">
        <v>3</v>
      </c>
      <c r="C55" s="1">
        <f t="shared" ref="C55:AC55" si="13">SUM(C56:C65)</f>
        <v>33864.06</v>
      </c>
      <c r="D55" s="1">
        <f t="shared" si="13"/>
        <v>33864.06</v>
      </c>
      <c r="E55" s="1">
        <f t="shared" si="13"/>
        <v>34249.79</v>
      </c>
      <c r="F55" s="1">
        <f t="shared" si="13"/>
        <v>5831</v>
      </c>
      <c r="G55" s="1">
        <f t="shared" si="13"/>
        <v>0</v>
      </c>
      <c r="H55" s="1">
        <f t="shared" si="13"/>
        <v>0</v>
      </c>
      <c r="I55" s="1">
        <f t="shared" si="13"/>
        <v>0</v>
      </c>
      <c r="J55" s="1">
        <f t="shared" si="13"/>
        <v>0</v>
      </c>
      <c r="K55" s="1">
        <f t="shared" si="13"/>
        <v>0</v>
      </c>
      <c r="L55" s="1">
        <f t="shared" si="13"/>
        <v>0</v>
      </c>
      <c r="M55" s="1">
        <f t="shared" si="13"/>
        <v>0</v>
      </c>
      <c r="N55" s="1">
        <f t="shared" si="13"/>
        <v>0</v>
      </c>
      <c r="O55" s="1">
        <f t="shared" si="13"/>
        <v>107808.91</v>
      </c>
      <c r="P55" s="1">
        <f t="shared" si="13"/>
        <v>0</v>
      </c>
      <c r="Q55" s="1">
        <f t="shared" si="13"/>
        <v>0</v>
      </c>
      <c r="R55" s="1">
        <f t="shared" si="13"/>
        <v>0</v>
      </c>
      <c r="S55" s="1">
        <f t="shared" si="13"/>
        <v>0</v>
      </c>
      <c r="T55" s="1">
        <f t="shared" si="13"/>
        <v>0</v>
      </c>
      <c r="U55" s="1">
        <f t="shared" si="13"/>
        <v>0</v>
      </c>
      <c r="V55" s="1">
        <f t="shared" si="13"/>
        <v>0</v>
      </c>
      <c r="W55" s="1">
        <f t="shared" si="13"/>
        <v>0</v>
      </c>
      <c r="X55" s="1">
        <f t="shared" si="13"/>
        <v>0</v>
      </c>
      <c r="Y55" s="1">
        <f t="shared" si="13"/>
        <v>0</v>
      </c>
      <c r="Z55" s="1">
        <f t="shared" si="13"/>
        <v>0</v>
      </c>
      <c r="AA55" s="1">
        <f t="shared" si="13"/>
        <v>0</v>
      </c>
      <c r="AB55" s="1">
        <f t="shared" si="13"/>
        <v>0</v>
      </c>
      <c r="AC55" s="1">
        <f t="shared" si="13"/>
        <v>0</v>
      </c>
      <c r="AD55" s="15">
        <f>SUM(AC55)</f>
        <v>0</v>
      </c>
      <c r="AE55" s="1">
        <f>SUM(AE56:AE65)</f>
        <v>471855.72000000009</v>
      </c>
    </row>
    <row r="56" spans="2:31" hidden="1" outlineLevel="1" x14ac:dyDescent="0.35">
      <c r="B56" s="14" t="str">
        <f>"5000"&amp;" - "&amp;"Lønn til ansatte"</f>
        <v>5000 - Lønn til ansatte</v>
      </c>
      <c r="C56" s="2">
        <v>27083.34</v>
      </c>
      <c r="D56" s="2">
        <v>27083.34</v>
      </c>
      <c r="E56" s="2">
        <v>27083.34</v>
      </c>
      <c r="F56" s="2"/>
      <c r="G56" s="2"/>
      <c r="H56" s="2"/>
      <c r="I56" s="2"/>
      <c r="J56" s="2"/>
      <c r="K56" s="2"/>
      <c r="L56" s="2"/>
      <c r="M56" s="2"/>
      <c r="N56" s="2"/>
      <c r="O56" s="2">
        <v>81250.02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13">
        <f t="shared" ref="AD56:AD65" si="14">AC56-O56</f>
        <v>-81250.02</v>
      </c>
      <c r="AE56" s="16">
        <v>360419.59</v>
      </c>
    </row>
    <row r="57" spans="2:31" hidden="1" outlineLevel="1" x14ac:dyDescent="0.35">
      <c r="B57" s="14" t="str">
        <f>"5180"&amp;" - "&amp;"Feriepenger beregnet"</f>
        <v>5180 - Feriepenger beregnet</v>
      </c>
      <c r="C57" s="2">
        <v>3250</v>
      </c>
      <c r="D57" s="2">
        <v>3250</v>
      </c>
      <c r="E57" s="2">
        <v>3250</v>
      </c>
      <c r="F57" s="2"/>
      <c r="G57" s="2"/>
      <c r="H57" s="2"/>
      <c r="I57" s="2"/>
      <c r="J57" s="2"/>
      <c r="K57" s="2"/>
      <c r="L57" s="2"/>
      <c r="M57" s="2"/>
      <c r="N57" s="2"/>
      <c r="O57" s="2">
        <v>9750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13">
        <f t="shared" si="14"/>
        <v>-9750</v>
      </c>
      <c r="AE57" s="16">
        <v>43250.34</v>
      </c>
    </row>
    <row r="58" spans="2:31" hidden="1" outlineLevel="1" x14ac:dyDescent="0.35">
      <c r="B58" s="14" t="str">
        <f>"5182"&amp;" - "&amp;"Arb.avg. påløpne feriepenger"</f>
        <v>5182 - Arb.avg. påløpne feriepenger</v>
      </c>
      <c r="C58" s="2">
        <v>458.25</v>
      </c>
      <c r="D58" s="2">
        <v>458.25</v>
      </c>
      <c r="E58" s="2">
        <v>458.25</v>
      </c>
      <c r="F58" s="2"/>
      <c r="G58" s="2"/>
      <c r="H58" s="2"/>
      <c r="I58" s="2"/>
      <c r="J58" s="2"/>
      <c r="K58" s="2"/>
      <c r="L58" s="2"/>
      <c r="M58" s="2"/>
      <c r="N58" s="2"/>
      <c r="O58" s="2">
        <v>1374.75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13">
        <f t="shared" si="14"/>
        <v>-1374.75</v>
      </c>
      <c r="AE58" s="16">
        <v>6098.31</v>
      </c>
    </row>
    <row r="59" spans="2:31" hidden="1" outlineLevel="1" x14ac:dyDescent="0.35">
      <c r="B59" s="14" t="str">
        <f>"5210"&amp;" - "&amp;"Fri telefon"</f>
        <v>5210 - Fri telefon</v>
      </c>
      <c r="C59" s="2"/>
      <c r="D59" s="2"/>
      <c r="E59" s="2">
        <v>385.73</v>
      </c>
      <c r="F59" s="2">
        <v>5831</v>
      </c>
      <c r="G59" s="2"/>
      <c r="H59" s="2"/>
      <c r="I59" s="2"/>
      <c r="J59" s="2"/>
      <c r="K59" s="2"/>
      <c r="L59" s="2"/>
      <c r="M59" s="2"/>
      <c r="N59" s="2"/>
      <c r="O59" s="2">
        <v>6216.73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13">
        <f t="shared" si="14"/>
        <v>-6216.73</v>
      </c>
      <c r="AE59" s="16">
        <v>3639</v>
      </c>
    </row>
    <row r="60" spans="2:31" hidden="1" outlineLevel="1" x14ac:dyDescent="0.35">
      <c r="B60" s="14" t="str">
        <f>"5212"&amp;" - "&amp;"Skattepliktig fordel av tlf og bredbånd"</f>
        <v>5212 - Skattepliktig fordel av tlf og bredbånd</v>
      </c>
      <c r="C60" s="2">
        <v>366</v>
      </c>
      <c r="D60" s="2">
        <v>366</v>
      </c>
      <c r="E60" s="2">
        <v>366</v>
      </c>
      <c r="F60" s="2"/>
      <c r="G60" s="2"/>
      <c r="H60" s="2"/>
      <c r="I60" s="2"/>
      <c r="J60" s="2"/>
      <c r="K60" s="2"/>
      <c r="L60" s="2"/>
      <c r="M60" s="2"/>
      <c r="N60" s="2"/>
      <c r="O60" s="2">
        <v>1098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13">
        <f t="shared" si="14"/>
        <v>-1098</v>
      </c>
      <c r="AE60" s="16">
        <v>4392</v>
      </c>
    </row>
    <row r="61" spans="2:31" hidden="1" outlineLevel="1" x14ac:dyDescent="0.35">
      <c r="B61" s="14" t="str">
        <f>"5297"&amp;" - "&amp;"Motkonto fri EK (tlf/bredbånd)"</f>
        <v>5297 - Motkonto fri EK (tlf/bredbånd)</v>
      </c>
      <c r="C61" s="2">
        <v>-366</v>
      </c>
      <c r="D61" s="2">
        <v>-366</v>
      </c>
      <c r="E61" s="2">
        <v>-366</v>
      </c>
      <c r="F61" s="2"/>
      <c r="G61" s="2"/>
      <c r="H61" s="2"/>
      <c r="I61" s="2"/>
      <c r="J61" s="2"/>
      <c r="K61" s="2"/>
      <c r="L61" s="2"/>
      <c r="M61" s="2"/>
      <c r="N61" s="2"/>
      <c r="O61" s="2">
        <v>-1098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13">
        <f t="shared" si="14"/>
        <v>1098</v>
      </c>
      <c r="AE61" s="16">
        <v>-4392</v>
      </c>
    </row>
    <row r="62" spans="2:31" hidden="1" outlineLevel="1" x14ac:dyDescent="0.35">
      <c r="B62" s="14" t="str">
        <f>"5400"&amp;" - "&amp;"Arbeidsgiveravgift"</f>
        <v>5400 - Arbeidsgiveravgift</v>
      </c>
      <c r="C62" s="2">
        <v>3884.97</v>
      </c>
      <c r="D62" s="2">
        <v>3884.97</v>
      </c>
      <c r="E62" s="2">
        <v>3884.97</v>
      </c>
      <c r="F62" s="2"/>
      <c r="G62" s="2"/>
      <c r="H62" s="2"/>
      <c r="I62" s="2"/>
      <c r="J62" s="2"/>
      <c r="K62" s="2"/>
      <c r="L62" s="2"/>
      <c r="M62" s="2"/>
      <c r="N62" s="2"/>
      <c r="O62" s="2">
        <v>11654.91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13">
        <f t="shared" si="14"/>
        <v>-11654.91</v>
      </c>
      <c r="AE62" s="16">
        <v>51438.45</v>
      </c>
    </row>
    <row r="63" spans="2:31" hidden="1" outlineLevel="1" x14ac:dyDescent="0.35">
      <c r="B63" s="14" t="str">
        <f>"5420"&amp;" - "&amp;"Pensjoner, NHO sliter m.m (Regnskap)"</f>
        <v>5420 - Pensjoner, NHO sliter m.m (Regnskap)</v>
      </c>
      <c r="C63" s="2">
        <v>-812.5</v>
      </c>
      <c r="D63" s="2">
        <v>-812.5</v>
      </c>
      <c r="E63" s="2">
        <v>-812.5</v>
      </c>
      <c r="F63" s="2"/>
      <c r="G63" s="2"/>
      <c r="H63" s="2"/>
      <c r="I63" s="2"/>
      <c r="J63" s="2"/>
      <c r="K63" s="2"/>
      <c r="L63" s="2"/>
      <c r="M63" s="2"/>
      <c r="N63" s="2"/>
      <c r="O63" s="2">
        <v>-2437.5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13">
        <f t="shared" si="14"/>
        <v>2437.5</v>
      </c>
      <c r="AE63" s="16">
        <v>7010.03</v>
      </c>
    </row>
    <row r="64" spans="2:31" hidden="1" outlineLevel="1" x14ac:dyDescent="0.35">
      <c r="B64" s="14" t="str">
        <f>"5931"&amp;" - "&amp;"Innberetn.pl. forsikring (lønn)"</f>
        <v>5931 - Innberetn.pl. forsikring (lønn)</v>
      </c>
      <c r="C64" s="2">
        <v>103.66</v>
      </c>
      <c r="D64" s="2">
        <v>103.66</v>
      </c>
      <c r="E64" s="2">
        <v>103.66</v>
      </c>
      <c r="F64" s="2"/>
      <c r="G64" s="2"/>
      <c r="H64" s="2"/>
      <c r="I64" s="2"/>
      <c r="J64" s="2"/>
      <c r="K64" s="2"/>
      <c r="L64" s="2"/>
      <c r="M64" s="2"/>
      <c r="N64" s="2"/>
      <c r="O64" s="2">
        <v>310.98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13">
        <f t="shared" si="14"/>
        <v>-310.98</v>
      </c>
      <c r="AE64" s="16">
        <v>0</v>
      </c>
    </row>
    <row r="65" spans="2:31" hidden="1" outlineLevel="1" x14ac:dyDescent="0.35">
      <c r="B65" s="14" t="str">
        <f>"5999"&amp;" - "&amp;"Motkonto Innberetn.pl. forsikringer (lønn)"</f>
        <v>5999 - Motkonto Innberetn.pl. forsikringer (lønn)</v>
      </c>
      <c r="C65" s="2">
        <v>-103.66</v>
      </c>
      <c r="D65" s="2">
        <v>-103.66</v>
      </c>
      <c r="E65" s="2">
        <v>-103.66</v>
      </c>
      <c r="F65" s="2"/>
      <c r="G65" s="2"/>
      <c r="H65" s="2"/>
      <c r="I65" s="2"/>
      <c r="J65" s="2"/>
      <c r="K65" s="2"/>
      <c r="L65" s="2"/>
      <c r="M65" s="2"/>
      <c r="N65" s="2"/>
      <c r="O65" s="2">
        <v>-310.98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13">
        <f t="shared" si="14"/>
        <v>310.98</v>
      </c>
      <c r="AE65" s="16">
        <v>0</v>
      </c>
    </row>
    <row r="66" spans="2:31" collapsed="1" x14ac:dyDescent="0.35">
      <c r="B66" s="17" t="s">
        <v>9</v>
      </c>
      <c r="C66" s="1">
        <f t="shared" ref="C66:AC66" si="15">SUM(C67:C80)</f>
        <v>160800</v>
      </c>
      <c r="D66" s="1">
        <f t="shared" si="15"/>
        <v>476474.17</v>
      </c>
      <c r="E66" s="1">
        <f t="shared" si="15"/>
        <v>692634.1</v>
      </c>
      <c r="F66" s="1">
        <f t="shared" si="15"/>
        <v>15726.6</v>
      </c>
      <c r="G66" s="1">
        <f t="shared" si="15"/>
        <v>50151.72</v>
      </c>
      <c r="H66" s="1">
        <f t="shared" si="15"/>
        <v>0</v>
      </c>
      <c r="I66" s="1">
        <f t="shared" si="15"/>
        <v>0</v>
      </c>
      <c r="J66" s="1">
        <f t="shared" si="15"/>
        <v>0</v>
      </c>
      <c r="K66" s="1">
        <f t="shared" si="15"/>
        <v>0</v>
      </c>
      <c r="L66" s="1">
        <f t="shared" si="15"/>
        <v>0</v>
      </c>
      <c r="M66" s="1">
        <f t="shared" si="15"/>
        <v>0</v>
      </c>
      <c r="N66" s="1">
        <f t="shared" si="15"/>
        <v>0</v>
      </c>
      <c r="O66" s="1">
        <f t="shared" si="15"/>
        <v>1395786.59</v>
      </c>
      <c r="P66" s="1">
        <f t="shared" si="15"/>
        <v>0</v>
      </c>
      <c r="Q66" s="1">
        <f t="shared" si="15"/>
        <v>0</v>
      </c>
      <c r="R66" s="1">
        <f t="shared" si="15"/>
        <v>0</v>
      </c>
      <c r="S66" s="1">
        <f t="shared" si="15"/>
        <v>0</v>
      </c>
      <c r="T66" s="1">
        <f t="shared" si="15"/>
        <v>0</v>
      </c>
      <c r="U66" s="1">
        <f t="shared" si="15"/>
        <v>0</v>
      </c>
      <c r="V66" s="1">
        <f t="shared" si="15"/>
        <v>0</v>
      </c>
      <c r="W66" s="1">
        <f t="shared" si="15"/>
        <v>0</v>
      </c>
      <c r="X66" s="1">
        <f t="shared" si="15"/>
        <v>0</v>
      </c>
      <c r="Y66" s="1">
        <f t="shared" si="15"/>
        <v>0</v>
      </c>
      <c r="Z66" s="1">
        <f t="shared" si="15"/>
        <v>0</v>
      </c>
      <c r="AA66" s="1">
        <f t="shared" si="15"/>
        <v>0</v>
      </c>
      <c r="AB66" s="1">
        <f t="shared" si="15"/>
        <v>0</v>
      </c>
      <c r="AC66" s="1">
        <f t="shared" si="15"/>
        <v>0</v>
      </c>
      <c r="AD66" s="15">
        <f>SUM(AC66)</f>
        <v>0</v>
      </c>
      <c r="AE66" s="1">
        <f>SUM(AE67:AE80)</f>
        <v>614350.54</v>
      </c>
    </row>
    <row r="67" spans="2:31" hidden="1" outlineLevel="1" x14ac:dyDescent="0.35">
      <c r="B67" s="14" t="str">
        <f>"6100"&amp;" - "&amp;"Frakt, transport, forsikring v/varefors"</f>
        <v>6100 - Frakt, transport, forsikring v/varefors</v>
      </c>
      <c r="C67" s="2"/>
      <c r="D67" s="2"/>
      <c r="E67" s="2"/>
      <c r="F67" s="2"/>
      <c r="G67" s="2">
        <v>47651.72</v>
      </c>
      <c r="H67" s="2"/>
      <c r="I67" s="2"/>
      <c r="J67" s="2"/>
      <c r="K67" s="2"/>
      <c r="L67" s="2"/>
      <c r="M67" s="2"/>
      <c r="N67" s="2"/>
      <c r="O67" s="2">
        <v>47651.72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13">
        <f t="shared" ref="AD67:AD80" si="16">AC67-O67</f>
        <v>-47651.72</v>
      </c>
      <c r="AE67" s="16"/>
    </row>
    <row r="68" spans="2:31" hidden="1" outlineLevel="1" x14ac:dyDescent="0.35">
      <c r="B68" s="14" t="str">
        <f>"6300"&amp;" - "&amp;"Leie lokaler"</f>
        <v>6300 - Leie lokaler</v>
      </c>
      <c r="C68" s="2">
        <v>40000</v>
      </c>
      <c r="D68" s="2"/>
      <c r="E68" s="2">
        <v>30245</v>
      </c>
      <c r="F68" s="2"/>
      <c r="G68" s="2"/>
      <c r="H68" s="2"/>
      <c r="I68" s="2"/>
      <c r="J68" s="2"/>
      <c r="K68" s="2"/>
      <c r="L68" s="2"/>
      <c r="M68" s="2"/>
      <c r="N68" s="2"/>
      <c r="O68" s="2">
        <v>70245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13">
        <f t="shared" si="16"/>
        <v>-70245</v>
      </c>
      <c r="AE68" s="16"/>
    </row>
    <row r="69" spans="2:31" hidden="1" outlineLevel="1" x14ac:dyDescent="0.35">
      <c r="B69" s="14" t="str">
        <f>"6310"&amp;" - "&amp;"Leie lokaler til idrettsaktivitet"</f>
        <v>6310 - Leie lokaler til idrettsaktivitet</v>
      </c>
      <c r="C69" s="2"/>
      <c r="D69" s="2">
        <v>55200.800000000003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>
        <v>55200.800000000003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13">
        <f t="shared" si="16"/>
        <v>-55200.800000000003</v>
      </c>
      <c r="AE69" s="16"/>
    </row>
    <row r="70" spans="2:31" hidden="1" outlineLevel="1" x14ac:dyDescent="0.35">
      <c r="B70" s="14" t="str">
        <f>"6340"&amp;" - "&amp;"Lys, varme"</f>
        <v>6340 - Lys, varme</v>
      </c>
      <c r="C70" s="2"/>
      <c r="D70" s="2"/>
      <c r="E70" s="2">
        <v>22470.69</v>
      </c>
      <c r="F70" s="2"/>
      <c r="G70" s="2"/>
      <c r="H70" s="2"/>
      <c r="I70" s="2"/>
      <c r="J70" s="2"/>
      <c r="K70" s="2"/>
      <c r="L70" s="2"/>
      <c r="M70" s="2"/>
      <c r="N70" s="2"/>
      <c r="O70" s="2">
        <v>22470.69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13">
        <f t="shared" si="16"/>
        <v>-22470.69</v>
      </c>
      <c r="AE70" s="16"/>
    </row>
    <row r="71" spans="2:31" hidden="1" outlineLevel="1" x14ac:dyDescent="0.35">
      <c r="B71" s="14" t="str">
        <f>"6400"&amp;" - "&amp;"Leie maskiner"</f>
        <v>6400 - Leie maskiner</v>
      </c>
      <c r="C71" s="2"/>
      <c r="D71" s="2"/>
      <c r="E71" s="2">
        <v>7275</v>
      </c>
      <c r="F71" s="2"/>
      <c r="G71" s="2"/>
      <c r="H71" s="2"/>
      <c r="I71" s="2"/>
      <c r="J71" s="2"/>
      <c r="K71" s="2"/>
      <c r="L71" s="2"/>
      <c r="M71" s="2"/>
      <c r="N71" s="2"/>
      <c r="O71" s="2">
        <v>7275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13">
        <f t="shared" si="16"/>
        <v>-7275</v>
      </c>
      <c r="AE71" s="16"/>
    </row>
    <row r="72" spans="2:31" hidden="1" outlineLevel="1" x14ac:dyDescent="0.35">
      <c r="B72" s="14" t="str">
        <f>"6455"&amp;" - "&amp;"IT-kostnader"</f>
        <v>6455 - IT-kostnader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13">
        <f t="shared" si="16"/>
        <v>0</v>
      </c>
      <c r="AE72" s="16">
        <v>970</v>
      </c>
    </row>
    <row r="73" spans="2:31" hidden="1" outlineLevel="1" x14ac:dyDescent="0.35">
      <c r="B73" s="14" t="str">
        <f>"6490"&amp;" - "&amp;"Annen leiekostnad"</f>
        <v>6490 - Annen leiekostnad</v>
      </c>
      <c r="C73" s="2"/>
      <c r="D73" s="2">
        <v>64812.5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>
        <v>64812.5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3">
        <f t="shared" si="16"/>
        <v>-64812.5</v>
      </c>
      <c r="AE73" s="16"/>
    </row>
    <row r="74" spans="2:31" hidden="1" outlineLevel="1" x14ac:dyDescent="0.35">
      <c r="B74" s="14" t="str">
        <f>"6545"&amp;" - "&amp;"Data-/ telefonutstyr"</f>
        <v>6545 - Data-/ telefonutstyr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13">
        <f t="shared" si="16"/>
        <v>0</v>
      </c>
      <c r="AE74" s="16">
        <v>8490</v>
      </c>
    </row>
    <row r="75" spans="2:31" hidden="1" outlineLevel="1" x14ac:dyDescent="0.35">
      <c r="B75" s="14" t="str">
        <f>"6550"&amp;" - "&amp;"Arr. utstyr"</f>
        <v>6550 - Arr. utstyr</v>
      </c>
      <c r="C75" s="2"/>
      <c r="D75" s="2">
        <v>44626.75</v>
      </c>
      <c r="E75" s="2">
        <v>100911.25</v>
      </c>
      <c r="F75" s="2"/>
      <c r="G75" s="2"/>
      <c r="H75" s="2"/>
      <c r="I75" s="2"/>
      <c r="J75" s="2"/>
      <c r="K75" s="2"/>
      <c r="L75" s="2"/>
      <c r="M75" s="2"/>
      <c r="N75" s="2"/>
      <c r="O75" s="2">
        <v>145538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13">
        <f t="shared" si="16"/>
        <v>-145538</v>
      </c>
      <c r="AE75" s="16">
        <v>13978</v>
      </c>
    </row>
    <row r="76" spans="2:31" hidden="1" outlineLevel="1" x14ac:dyDescent="0.35">
      <c r="B76" s="14" t="str">
        <f>"6580"&amp;" - "&amp;"Idrettsutstyr"</f>
        <v>6580 - Idrettsutstyr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3">
        <f t="shared" si="16"/>
        <v>0</v>
      </c>
      <c r="AE76" s="16">
        <v>2732</v>
      </c>
    </row>
    <row r="77" spans="2:31" hidden="1" outlineLevel="1" x14ac:dyDescent="0.35">
      <c r="B77" s="14" t="str">
        <f>"6730"&amp;" - "&amp;"Idrettsfaglig bistand"</f>
        <v>6730 - Idrettsfaglig bistand</v>
      </c>
      <c r="C77" s="2">
        <v>120800</v>
      </c>
      <c r="D77" s="2">
        <v>298337.76</v>
      </c>
      <c r="E77" s="2">
        <v>20875</v>
      </c>
      <c r="F77" s="2"/>
      <c r="G77" s="2"/>
      <c r="H77" s="2"/>
      <c r="I77" s="2"/>
      <c r="J77" s="2"/>
      <c r="K77" s="2"/>
      <c r="L77" s="2"/>
      <c r="M77" s="2"/>
      <c r="N77" s="2"/>
      <c r="O77" s="2">
        <v>440012.76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13">
        <f t="shared" si="16"/>
        <v>-440012.76</v>
      </c>
      <c r="AE77" s="16">
        <v>101453.75</v>
      </c>
    </row>
    <row r="78" spans="2:31" hidden="1" outlineLevel="1" x14ac:dyDescent="0.35">
      <c r="B78" s="14" t="str">
        <f>"6740"&amp;" - "&amp;"Medisinsk bistand"</f>
        <v>6740 - Medisinsk bistand</v>
      </c>
      <c r="C78" s="2"/>
      <c r="D78" s="2"/>
      <c r="E78" s="2">
        <v>28400</v>
      </c>
      <c r="F78" s="2"/>
      <c r="G78" s="2"/>
      <c r="H78" s="2"/>
      <c r="I78" s="2"/>
      <c r="J78" s="2"/>
      <c r="K78" s="2"/>
      <c r="L78" s="2"/>
      <c r="M78" s="2"/>
      <c r="N78" s="2"/>
      <c r="O78" s="2">
        <v>28400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3">
        <f t="shared" si="16"/>
        <v>-28400</v>
      </c>
      <c r="AE78" s="16"/>
    </row>
    <row r="79" spans="2:31" hidden="1" outlineLevel="1" x14ac:dyDescent="0.35">
      <c r="B79" s="14" t="str">
        <f>"6790"&amp;" - "&amp;"Annen fremmed tjeneste"</f>
        <v>6790 - Annen fremmed tjeneste</v>
      </c>
      <c r="C79" s="2"/>
      <c r="D79" s="2">
        <v>11250</v>
      </c>
      <c r="E79" s="2">
        <v>474446.26</v>
      </c>
      <c r="F79" s="2">
        <v>15269</v>
      </c>
      <c r="G79" s="2">
        <v>2500</v>
      </c>
      <c r="H79" s="2"/>
      <c r="I79" s="2"/>
      <c r="J79" s="2"/>
      <c r="K79" s="2"/>
      <c r="L79" s="2"/>
      <c r="M79" s="2"/>
      <c r="N79" s="2"/>
      <c r="O79" s="2">
        <v>503465.26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3">
        <f t="shared" si="16"/>
        <v>-503465.26</v>
      </c>
      <c r="AE79" s="16">
        <v>478905.79</v>
      </c>
    </row>
    <row r="80" spans="2:31" hidden="1" outlineLevel="1" x14ac:dyDescent="0.35">
      <c r="B80" s="14" t="str">
        <f>"6800"&amp;" - "&amp;"Kontorrekvisita"</f>
        <v>6800 - Kontorrekvisita</v>
      </c>
      <c r="C80" s="2"/>
      <c r="D80" s="2">
        <v>2246.36</v>
      </c>
      <c r="E80" s="2">
        <v>8010.9</v>
      </c>
      <c r="F80" s="2">
        <v>457.6</v>
      </c>
      <c r="G80" s="2"/>
      <c r="H80" s="2"/>
      <c r="I80" s="2"/>
      <c r="J80" s="2"/>
      <c r="K80" s="2"/>
      <c r="L80" s="2"/>
      <c r="M80" s="2"/>
      <c r="N80" s="2"/>
      <c r="O80" s="2">
        <v>10714.86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13">
        <f t="shared" si="16"/>
        <v>-10714.86</v>
      </c>
      <c r="AE80" s="16">
        <v>7821</v>
      </c>
    </row>
    <row r="81" spans="2:31" collapsed="1" x14ac:dyDescent="0.35">
      <c r="B81" s="17" t="s">
        <v>24</v>
      </c>
      <c r="C81" s="1">
        <f t="shared" ref="C81:AC81" si="17">SUM(C82:C87)</f>
        <v>784.7</v>
      </c>
      <c r="D81" s="1">
        <f t="shared" si="17"/>
        <v>584817.55000000005</v>
      </c>
      <c r="E81" s="1">
        <f t="shared" si="17"/>
        <v>100217.21</v>
      </c>
      <c r="F81" s="1">
        <f t="shared" si="17"/>
        <v>57868.979999999996</v>
      </c>
      <c r="G81" s="1">
        <f t="shared" si="17"/>
        <v>0</v>
      </c>
      <c r="H81" s="1">
        <f t="shared" si="17"/>
        <v>0</v>
      </c>
      <c r="I81" s="1">
        <f t="shared" si="17"/>
        <v>0</v>
      </c>
      <c r="J81" s="1">
        <f t="shared" si="17"/>
        <v>0</v>
      </c>
      <c r="K81" s="1">
        <f t="shared" si="17"/>
        <v>0</v>
      </c>
      <c r="L81" s="1">
        <f t="shared" si="17"/>
        <v>0</v>
      </c>
      <c r="M81" s="1">
        <f t="shared" si="17"/>
        <v>0</v>
      </c>
      <c r="N81" s="1">
        <f t="shared" si="17"/>
        <v>0</v>
      </c>
      <c r="O81" s="1">
        <f t="shared" si="17"/>
        <v>743688.44</v>
      </c>
      <c r="P81" s="1">
        <f t="shared" si="17"/>
        <v>0</v>
      </c>
      <c r="Q81" s="1">
        <f t="shared" si="17"/>
        <v>0</v>
      </c>
      <c r="R81" s="1">
        <f t="shared" si="17"/>
        <v>0</v>
      </c>
      <c r="S81" s="1">
        <f t="shared" si="17"/>
        <v>0</v>
      </c>
      <c r="T81" s="1">
        <f t="shared" si="17"/>
        <v>0</v>
      </c>
      <c r="U81" s="1">
        <f t="shared" si="17"/>
        <v>0</v>
      </c>
      <c r="V81" s="1">
        <f t="shared" si="17"/>
        <v>0</v>
      </c>
      <c r="W81" s="1">
        <f t="shared" si="17"/>
        <v>0</v>
      </c>
      <c r="X81" s="1">
        <f t="shared" si="17"/>
        <v>0</v>
      </c>
      <c r="Y81" s="1">
        <f t="shared" si="17"/>
        <v>0</v>
      </c>
      <c r="Z81" s="1">
        <f t="shared" si="17"/>
        <v>0</v>
      </c>
      <c r="AA81" s="1">
        <f t="shared" si="17"/>
        <v>0</v>
      </c>
      <c r="AB81" s="1">
        <f t="shared" si="17"/>
        <v>0</v>
      </c>
      <c r="AC81" s="1">
        <f t="shared" si="17"/>
        <v>0</v>
      </c>
      <c r="AD81" s="15">
        <f>SUM(AC81)</f>
        <v>0</v>
      </c>
      <c r="AE81" s="1">
        <f>SUM(AE82:AE87)</f>
        <v>116487.98999999999</v>
      </c>
    </row>
    <row r="82" spans="2:31" hidden="1" outlineLevel="1" x14ac:dyDescent="0.35">
      <c r="B82" s="14" t="str">
        <f>"7101"&amp;" - "&amp;"Bilgodtgjørelse, oppgavepliktig"</f>
        <v>7101 - Bilgodtgjørelse, oppgavepliktig</v>
      </c>
      <c r="C82" s="2">
        <v>784.7</v>
      </c>
      <c r="D82" s="2">
        <v>5520.55</v>
      </c>
      <c r="E82" s="2">
        <v>20478.5</v>
      </c>
      <c r="F82" s="2">
        <v>17039.400000000001</v>
      </c>
      <c r="G82" s="2"/>
      <c r="H82" s="2"/>
      <c r="I82" s="2"/>
      <c r="J82" s="2"/>
      <c r="K82" s="2"/>
      <c r="L82" s="2"/>
      <c r="M82" s="2"/>
      <c r="N82" s="2"/>
      <c r="O82" s="2">
        <v>43823.15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13">
        <f t="shared" ref="AD82:AD87" si="18">AC82-O82</f>
        <v>-43823.15</v>
      </c>
      <c r="AE82" s="16">
        <v>33754.35</v>
      </c>
    </row>
    <row r="83" spans="2:31" hidden="1" outlineLevel="1" x14ac:dyDescent="0.35">
      <c r="B83" s="14" t="str">
        <f>"7102"&amp;" - "&amp;"Passasjertillegg, oppgavepliktig"</f>
        <v>7102 - Passasjertillegg, oppgavepliktig</v>
      </c>
      <c r="C83" s="2"/>
      <c r="D83" s="2">
        <v>2073</v>
      </c>
      <c r="E83" s="2">
        <v>2931</v>
      </c>
      <c r="F83" s="2">
        <v>754</v>
      </c>
      <c r="G83" s="2"/>
      <c r="H83" s="2"/>
      <c r="I83" s="2"/>
      <c r="J83" s="2"/>
      <c r="K83" s="2"/>
      <c r="L83" s="2"/>
      <c r="M83" s="2"/>
      <c r="N83" s="2"/>
      <c r="O83" s="2">
        <v>5758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13">
        <f t="shared" si="18"/>
        <v>-5758</v>
      </c>
      <c r="AE83" s="16">
        <v>4125.1000000000004</v>
      </c>
    </row>
    <row r="84" spans="2:31" hidden="1" outlineLevel="1" x14ac:dyDescent="0.35">
      <c r="B84" s="14" t="str">
        <f>"7141"&amp;" - "&amp;"Fly"</f>
        <v>7141 - Fly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13">
        <f t="shared" si="18"/>
        <v>0</v>
      </c>
      <c r="AE84" s="16">
        <v>2628.96</v>
      </c>
    </row>
    <row r="85" spans="2:31" hidden="1" outlineLevel="1" x14ac:dyDescent="0.35">
      <c r="B85" s="14" t="str">
        <f>"7144"&amp;" - "&amp;"Hotell"</f>
        <v>7144 - Hotell</v>
      </c>
      <c r="C85" s="2"/>
      <c r="D85" s="2">
        <v>160832</v>
      </c>
      <c r="E85" s="2">
        <v>-1500</v>
      </c>
      <c r="F85" s="2">
        <v>-33160</v>
      </c>
      <c r="G85" s="2"/>
      <c r="H85" s="2"/>
      <c r="I85" s="2"/>
      <c r="J85" s="2"/>
      <c r="K85" s="2"/>
      <c r="L85" s="2"/>
      <c r="M85" s="2"/>
      <c r="N85" s="2"/>
      <c r="O85" s="2">
        <v>126172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13">
        <f t="shared" si="18"/>
        <v>-126172</v>
      </c>
      <c r="AE85" s="16">
        <v>65928</v>
      </c>
    </row>
    <row r="86" spans="2:31" hidden="1" outlineLevel="1" x14ac:dyDescent="0.35">
      <c r="B86" s="14" t="str">
        <f>"7145"&amp;" - "&amp;"Andre reisekostnader"</f>
        <v>7145 - Andre reisekostnader</v>
      </c>
      <c r="C86" s="2"/>
      <c r="D86" s="2">
        <v>392</v>
      </c>
      <c r="E86" s="2">
        <v>3336</v>
      </c>
      <c r="F86" s="2">
        <v>1335.4</v>
      </c>
      <c r="G86" s="2"/>
      <c r="H86" s="2"/>
      <c r="I86" s="2"/>
      <c r="J86" s="2"/>
      <c r="K86" s="2"/>
      <c r="L86" s="2"/>
      <c r="M86" s="2"/>
      <c r="N86" s="2"/>
      <c r="O86" s="2">
        <v>5063.3999999999996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13">
        <f t="shared" si="18"/>
        <v>-5063.3999999999996</v>
      </c>
      <c r="AE86" s="16">
        <v>7484.4</v>
      </c>
    </row>
    <row r="87" spans="2:31" hidden="1" outlineLevel="1" x14ac:dyDescent="0.35">
      <c r="B87" s="14" t="str">
        <f>"7162"&amp;" - "&amp;"Bevertning"</f>
        <v>7162 - Bevertning</v>
      </c>
      <c r="C87" s="2"/>
      <c r="D87" s="2">
        <v>416000</v>
      </c>
      <c r="E87" s="2">
        <v>74971.710000000006</v>
      </c>
      <c r="F87" s="2">
        <v>71900.179999999993</v>
      </c>
      <c r="G87" s="2"/>
      <c r="H87" s="2"/>
      <c r="I87" s="2"/>
      <c r="J87" s="2"/>
      <c r="K87" s="2"/>
      <c r="L87" s="2"/>
      <c r="M87" s="2"/>
      <c r="N87" s="2"/>
      <c r="O87" s="2">
        <v>562871.89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13">
        <f t="shared" si="18"/>
        <v>-562871.89</v>
      </c>
      <c r="AE87" s="16">
        <v>2567.1799999999998</v>
      </c>
    </row>
    <row r="88" spans="2:31" ht="15.75" customHeight="1" collapsed="1" x14ac:dyDescent="0.35">
      <c r="B88" s="17" t="s">
        <v>18</v>
      </c>
      <c r="C88" s="1">
        <f t="shared" ref="C88:AC88" si="19">SUM(0)</f>
        <v>0</v>
      </c>
      <c r="D88" s="1">
        <f t="shared" si="19"/>
        <v>0</v>
      </c>
      <c r="E88" s="1">
        <f t="shared" si="19"/>
        <v>0</v>
      </c>
      <c r="F88" s="1">
        <f t="shared" si="19"/>
        <v>0</v>
      </c>
      <c r="G88" s="1">
        <f t="shared" si="19"/>
        <v>0</v>
      </c>
      <c r="H88" s="1">
        <f t="shared" si="19"/>
        <v>0</v>
      </c>
      <c r="I88" s="1">
        <f t="shared" si="19"/>
        <v>0</v>
      </c>
      <c r="J88" s="1">
        <f t="shared" si="19"/>
        <v>0</v>
      </c>
      <c r="K88" s="1">
        <f t="shared" si="19"/>
        <v>0</v>
      </c>
      <c r="L88" s="1">
        <f t="shared" si="19"/>
        <v>0</v>
      </c>
      <c r="M88" s="1">
        <f t="shared" si="19"/>
        <v>0</v>
      </c>
      <c r="N88" s="1">
        <f t="shared" si="19"/>
        <v>0</v>
      </c>
      <c r="O88" s="1">
        <f t="shared" si="19"/>
        <v>0</v>
      </c>
      <c r="P88" s="1">
        <f t="shared" si="19"/>
        <v>0</v>
      </c>
      <c r="Q88" s="1">
        <f t="shared" si="19"/>
        <v>0</v>
      </c>
      <c r="R88" s="1">
        <f t="shared" si="19"/>
        <v>0</v>
      </c>
      <c r="S88" s="1">
        <f t="shared" si="19"/>
        <v>0</v>
      </c>
      <c r="T88" s="1">
        <f t="shared" si="19"/>
        <v>0</v>
      </c>
      <c r="U88" s="1">
        <f t="shared" si="19"/>
        <v>0</v>
      </c>
      <c r="V88" s="1">
        <f t="shared" si="19"/>
        <v>0</v>
      </c>
      <c r="W88" s="1">
        <f t="shared" si="19"/>
        <v>0</v>
      </c>
      <c r="X88" s="1">
        <f t="shared" si="19"/>
        <v>0</v>
      </c>
      <c r="Y88" s="1">
        <f t="shared" si="19"/>
        <v>0</v>
      </c>
      <c r="Z88" s="1">
        <f t="shared" si="19"/>
        <v>0</v>
      </c>
      <c r="AA88" s="1">
        <f t="shared" si="19"/>
        <v>0</v>
      </c>
      <c r="AB88" s="1">
        <f t="shared" si="19"/>
        <v>0</v>
      </c>
      <c r="AC88" s="1">
        <f t="shared" si="19"/>
        <v>0</v>
      </c>
      <c r="AD88" s="15">
        <f>SUM(AC88)</f>
        <v>0</v>
      </c>
      <c r="AE88" s="1">
        <f>SUM(0)</f>
        <v>0</v>
      </c>
    </row>
    <row r="89" spans="2:31" x14ac:dyDescent="0.35">
      <c r="B89" s="17" t="s">
        <v>19</v>
      </c>
      <c r="C89" s="1">
        <f t="shared" ref="C89:AC89" si="20">SUM(C90)</f>
        <v>0</v>
      </c>
      <c r="D89" s="1">
        <f t="shared" si="20"/>
        <v>0</v>
      </c>
      <c r="E89" s="1">
        <f t="shared" si="20"/>
        <v>23750</v>
      </c>
      <c r="F89" s="1">
        <f t="shared" si="20"/>
        <v>0</v>
      </c>
      <c r="G89" s="1">
        <f t="shared" si="20"/>
        <v>0</v>
      </c>
      <c r="H89" s="1">
        <f t="shared" si="20"/>
        <v>0</v>
      </c>
      <c r="I89" s="1">
        <f t="shared" si="20"/>
        <v>0</v>
      </c>
      <c r="J89" s="1">
        <f t="shared" si="20"/>
        <v>0</v>
      </c>
      <c r="K89" s="1">
        <f t="shared" si="20"/>
        <v>0</v>
      </c>
      <c r="L89" s="1">
        <f t="shared" si="20"/>
        <v>0</v>
      </c>
      <c r="M89" s="1">
        <f t="shared" si="20"/>
        <v>0</v>
      </c>
      <c r="N89" s="1">
        <f t="shared" si="20"/>
        <v>0</v>
      </c>
      <c r="O89" s="1">
        <f t="shared" si="20"/>
        <v>23750</v>
      </c>
      <c r="P89" s="1">
        <f t="shared" si="20"/>
        <v>0</v>
      </c>
      <c r="Q89" s="1">
        <f t="shared" si="20"/>
        <v>0</v>
      </c>
      <c r="R89" s="1">
        <f t="shared" si="20"/>
        <v>0</v>
      </c>
      <c r="S89" s="1">
        <f t="shared" si="20"/>
        <v>0</v>
      </c>
      <c r="T89" s="1">
        <f t="shared" si="20"/>
        <v>0</v>
      </c>
      <c r="U89" s="1">
        <f t="shared" si="20"/>
        <v>0</v>
      </c>
      <c r="V89" s="1">
        <f t="shared" si="20"/>
        <v>0</v>
      </c>
      <c r="W89" s="1">
        <f t="shared" si="20"/>
        <v>0</v>
      </c>
      <c r="X89" s="1">
        <f t="shared" si="20"/>
        <v>0</v>
      </c>
      <c r="Y89" s="1">
        <f t="shared" si="20"/>
        <v>0</v>
      </c>
      <c r="Z89" s="1">
        <f t="shared" si="20"/>
        <v>0</v>
      </c>
      <c r="AA89" s="1">
        <f t="shared" si="20"/>
        <v>0</v>
      </c>
      <c r="AB89" s="1">
        <f t="shared" si="20"/>
        <v>0</v>
      </c>
      <c r="AC89" s="1">
        <f t="shared" si="20"/>
        <v>0</v>
      </c>
      <c r="AD89" s="15">
        <f>SUM(AC89)</f>
        <v>0</v>
      </c>
      <c r="AE89" s="1">
        <f>SUM(AE90)</f>
        <v>15750</v>
      </c>
    </row>
    <row r="90" spans="2:31" hidden="1" outlineLevel="1" x14ac:dyDescent="0.35">
      <c r="B90" s="14" t="str">
        <f>"7320"&amp;" - "&amp;"Reklame og annonser"</f>
        <v>7320 - Reklame og annonser</v>
      </c>
      <c r="C90" s="2"/>
      <c r="D90" s="2"/>
      <c r="E90" s="2">
        <v>23750</v>
      </c>
      <c r="F90" s="2"/>
      <c r="G90" s="2"/>
      <c r="H90" s="2"/>
      <c r="I90" s="2"/>
      <c r="J90" s="2"/>
      <c r="K90" s="2"/>
      <c r="L90" s="2"/>
      <c r="M90" s="2"/>
      <c r="N90" s="2"/>
      <c r="O90" s="2">
        <v>23750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13">
        <f>AC90-O90</f>
        <v>-23750</v>
      </c>
      <c r="AE90" s="16">
        <v>15750</v>
      </c>
    </row>
    <row r="91" spans="2:31" collapsed="1" x14ac:dyDescent="0.35">
      <c r="B91" s="17" t="s">
        <v>20</v>
      </c>
      <c r="C91" s="1">
        <f t="shared" ref="C91:AC91" si="21">SUM(C92:C93)</f>
        <v>0</v>
      </c>
      <c r="D91" s="1">
        <f t="shared" si="21"/>
        <v>0</v>
      </c>
      <c r="E91" s="1">
        <f t="shared" si="21"/>
        <v>20546.25</v>
      </c>
      <c r="F91" s="1">
        <f t="shared" si="21"/>
        <v>0</v>
      </c>
      <c r="G91" s="1">
        <f t="shared" si="21"/>
        <v>0</v>
      </c>
      <c r="H91" s="1">
        <f t="shared" si="21"/>
        <v>0</v>
      </c>
      <c r="I91" s="1">
        <f t="shared" si="21"/>
        <v>0</v>
      </c>
      <c r="J91" s="1">
        <f t="shared" si="21"/>
        <v>0</v>
      </c>
      <c r="K91" s="1">
        <f t="shared" si="21"/>
        <v>0</v>
      </c>
      <c r="L91" s="1">
        <f t="shared" si="21"/>
        <v>0</v>
      </c>
      <c r="M91" s="1">
        <f t="shared" si="21"/>
        <v>0</v>
      </c>
      <c r="N91" s="1">
        <f t="shared" si="21"/>
        <v>0</v>
      </c>
      <c r="O91" s="1">
        <f t="shared" si="21"/>
        <v>20546.25</v>
      </c>
      <c r="P91" s="1">
        <f t="shared" si="21"/>
        <v>0</v>
      </c>
      <c r="Q91" s="1">
        <f t="shared" si="21"/>
        <v>0</v>
      </c>
      <c r="R91" s="1">
        <f t="shared" si="21"/>
        <v>0</v>
      </c>
      <c r="S91" s="1">
        <f t="shared" si="21"/>
        <v>0</v>
      </c>
      <c r="T91" s="1">
        <f t="shared" si="21"/>
        <v>0</v>
      </c>
      <c r="U91" s="1">
        <f t="shared" si="21"/>
        <v>0</v>
      </c>
      <c r="V91" s="1">
        <f t="shared" si="21"/>
        <v>0</v>
      </c>
      <c r="W91" s="1">
        <f t="shared" si="21"/>
        <v>0</v>
      </c>
      <c r="X91" s="1">
        <f t="shared" si="21"/>
        <v>0</v>
      </c>
      <c r="Y91" s="1">
        <f t="shared" si="21"/>
        <v>0</v>
      </c>
      <c r="Z91" s="1">
        <f t="shared" si="21"/>
        <v>0</v>
      </c>
      <c r="AA91" s="1">
        <f t="shared" si="21"/>
        <v>0</v>
      </c>
      <c r="AB91" s="1">
        <f t="shared" si="21"/>
        <v>0</v>
      </c>
      <c r="AC91" s="1">
        <f t="shared" si="21"/>
        <v>0</v>
      </c>
      <c r="AD91" s="15">
        <f>SUM(AC91)</f>
        <v>0</v>
      </c>
      <c r="AE91" s="1">
        <f>SUM(AE92:AE93)</f>
        <v>2350</v>
      </c>
    </row>
    <row r="92" spans="2:31" hidden="1" outlineLevel="1" x14ac:dyDescent="0.35">
      <c r="B92" s="14" t="str">
        <f>"7415"&amp;" - "&amp;"Påmeldinger/kurs"</f>
        <v>7415 - Påmeldinger/kurs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13">
        <f t="shared" ref="AD92:AD93" si="22">AC92-O92</f>
        <v>0</v>
      </c>
      <c r="AE92" s="16">
        <v>2350</v>
      </c>
    </row>
    <row r="93" spans="2:31" hidden="1" outlineLevel="1" x14ac:dyDescent="0.35">
      <c r="B93" s="14" t="str">
        <f>"7420"&amp;" - "&amp;"Gaver og premier"</f>
        <v>7420 - Gaver og premier</v>
      </c>
      <c r="C93" s="2"/>
      <c r="D93" s="2"/>
      <c r="E93" s="2">
        <v>20546.25</v>
      </c>
      <c r="F93" s="2"/>
      <c r="G93" s="2"/>
      <c r="H93" s="2"/>
      <c r="I93" s="2"/>
      <c r="J93" s="2"/>
      <c r="K93" s="2"/>
      <c r="L93" s="2"/>
      <c r="M93" s="2"/>
      <c r="N93" s="2"/>
      <c r="O93" s="2">
        <v>20546.25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13">
        <f t="shared" si="22"/>
        <v>-20546.25</v>
      </c>
      <c r="AE93" s="16"/>
    </row>
    <row r="94" spans="2:31" collapsed="1" x14ac:dyDescent="0.35">
      <c r="B94" s="17" t="s">
        <v>6</v>
      </c>
      <c r="C94" s="1">
        <f t="shared" ref="C94:AC94" si="23">SUM(0)</f>
        <v>0</v>
      </c>
      <c r="D94" s="1">
        <f t="shared" si="23"/>
        <v>0</v>
      </c>
      <c r="E94" s="1">
        <f t="shared" si="23"/>
        <v>0</v>
      </c>
      <c r="F94" s="1">
        <f t="shared" si="23"/>
        <v>0</v>
      </c>
      <c r="G94" s="1">
        <f t="shared" si="23"/>
        <v>0</v>
      </c>
      <c r="H94" s="1">
        <f t="shared" si="23"/>
        <v>0</v>
      </c>
      <c r="I94" s="1">
        <f t="shared" si="23"/>
        <v>0</v>
      </c>
      <c r="J94" s="1">
        <f t="shared" si="23"/>
        <v>0</v>
      </c>
      <c r="K94" s="1">
        <f t="shared" si="23"/>
        <v>0</v>
      </c>
      <c r="L94" s="1">
        <f t="shared" si="23"/>
        <v>0</v>
      </c>
      <c r="M94" s="1">
        <f t="shared" si="23"/>
        <v>0</v>
      </c>
      <c r="N94" s="1">
        <f t="shared" si="23"/>
        <v>0</v>
      </c>
      <c r="O94" s="1">
        <f t="shared" si="23"/>
        <v>0</v>
      </c>
      <c r="P94" s="1">
        <f t="shared" si="23"/>
        <v>0</v>
      </c>
      <c r="Q94" s="1">
        <f t="shared" si="23"/>
        <v>0</v>
      </c>
      <c r="R94" s="1">
        <f t="shared" si="23"/>
        <v>0</v>
      </c>
      <c r="S94" s="1">
        <f t="shared" si="23"/>
        <v>0</v>
      </c>
      <c r="T94" s="1">
        <f t="shared" si="23"/>
        <v>0</v>
      </c>
      <c r="U94" s="1">
        <f t="shared" si="23"/>
        <v>0</v>
      </c>
      <c r="V94" s="1">
        <f t="shared" si="23"/>
        <v>0</v>
      </c>
      <c r="W94" s="1">
        <f t="shared" si="23"/>
        <v>0</v>
      </c>
      <c r="X94" s="1">
        <f t="shared" si="23"/>
        <v>0</v>
      </c>
      <c r="Y94" s="1">
        <f t="shared" si="23"/>
        <v>0</v>
      </c>
      <c r="Z94" s="1">
        <f t="shared" si="23"/>
        <v>0</v>
      </c>
      <c r="AA94" s="1">
        <f t="shared" si="23"/>
        <v>0</v>
      </c>
      <c r="AB94" s="1">
        <f t="shared" si="23"/>
        <v>0</v>
      </c>
      <c r="AC94" s="1">
        <f t="shared" si="23"/>
        <v>0</v>
      </c>
      <c r="AD94" s="15">
        <f>SUM(AC94)</f>
        <v>0</v>
      </c>
      <c r="AE94" s="1">
        <f>SUM(0)</f>
        <v>0</v>
      </c>
    </row>
    <row r="95" spans="2:31" x14ac:dyDescent="0.35">
      <c r="B95" s="17" t="s">
        <v>10</v>
      </c>
      <c r="C95" s="1">
        <f t="shared" ref="C95:AC95" si="24">SUM(C96:C98)</f>
        <v>0</v>
      </c>
      <c r="D95" s="1">
        <f t="shared" si="24"/>
        <v>4057</v>
      </c>
      <c r="E95" s="1">
        <f t="shared" si="24"/>
        <v>0</v>
      </c>
      <c r="F95" s="1">
        <f t="shared" si="24"/>
        <v>0</v>
      </c>
      <c r="G95" s="1">
        <f t="shared" si="24"/>
        <v>0</v>
      </c>
      <c r="H95" s="1">
        <f t="shared" si="24"/>
        <v>0</v>
      </c>
      <c r="I95" s="1">
        <f t="shared" si="24"/>
        <v>0</v>
      </c>
      <c r="J95" s="1">
        <f t="shared" si="24"/>
        <v>0</v>
      </c>
      <c r="K95" s="1">
        <f t="shared" si="24"/>
        <v>0</v>
      </c>
      <c r="L95" s="1">
        <f t="shared" si="24"/>
        <v>0</v>
      </c>
      <c r="M95" s="1">
        <f t="shared" si="24"/>
        <v>0</v>
      </c>
      <c r="N95" s="1">
        <f t="shared" si="24"/>
        <v>0</v>
      </c>
      <c r="O95" s="1">
        <f t="shared" si="24"/>
        <v>4057</v>
      </c>
      <c r="P95" s="1">
        <f t="shared" si="24"/>
        <v>1502497</v>
      </c>
      <c r="Q95" s="1">
        <f t="shared" si="24"/>
        <v>1502497</v>
      </c>
      <c r="R95" s="1">
        <f t="shared" si="24"/>
        <v>0</v>
      </c>
      <c r="S95" s="1">
        <f t="shared" si="24"/>
        <v>0</v>
      </c>
      <c r="T95" s="1">
        <f t="shared" si="24"/>
        <v>0</v>
      </c>
      <c r="U95" s="1">
        <f t="shared" si="24"/>
        <v>0</v>
      </c>
      <c r="V95" s="1">
        <f t="shared" si="24"/>
        <v>0</v>
      </c>
      <c r="W95" s="1">
        <f t="shared" si="24"/>
        <v>0</v>
      </c>
      <c r="X95" s="1">
        <f t="shared" si="24"/>
        <v>0</v>
      </c>
      <c r="Y95" s="1">
        <f t="shared" si="24"/>
        <v>0</v>
      </c>
      <c r="Z95" s="1">
        <f t="shared" si="24"/>
        <v>0</v>
      </c>
      <c r="AA95" s="1">
        <f t="shared" si="24"/>
        <v>0</v>
      </c>
      <c r="AB95" s="1">
        <f t="shared" si="24"/>
        <v>0</v>
      </c>
      <c r="AC95" s="1">
        <f t="shared" si="24"/>
        <v>1502497</v>
      </c>
      <c r="AD95" s="15">
        <f>SUM(AC95)</f>
        <v>1502497</v>
      </c>
      <c r="AE95" s="1">
        <f>SUM(AE96:AE98)</f>
        <v>840</v>
      </c>
    </row>
    <row r="96" spans="2:31" hidden="1" outlineLevel="1" x14ac:dyDescent="0.35">
      <c r="B96" s="14" t="str">
        <f>"7500"&amp;" - "&amp;"Forsikringspremie"</f>
        <v>7500 - Forsikringspremie</v>
      </c>
      <c r="C96" s="2"/>
      <c r="D96" s="2">
        <v>4057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>
        <v>4057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13">
        <f t="shared" ref="AD96:AD98" si="25">AC96-O96</f>
        <v>-4057</v>
      </c>
      <c r="AE96" s="16"/>
    </row>
    <row r="97" spans="2:31" hidden="1" outlineLevel="1" x14ac:dyDescent="0.35">
      <c r="B97" s="14" t="str">
        <f>"7770"&amp;" - "&amp;"Bank og kortgebyrer"</f>
        <v>7770 - Bank og kortgebyrer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13">
        <f t="shared" si="25"/>
        <v>0</v>
      </c>
      <c r="AE97" s="16">
        <v>840</v>
      </c>
    </row>
    <row r="98" spans="2:31" hidden="1" outlineLevel="1" x14ac:dyDescent="0.35">
      <c r="B98" s="14" t="str">
        <f>"7999"&amp;" - "&amp;"Budsjetterte kostnader"</f>
        <v>7999 - Budsjetterte kostnader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1502497</v>
      </c>
      <c r="Q98" s="2">
        <v>1502497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1502497</v>
      </c>
      <c r="AD98" s="13">
        <f t="shared" si="25"/>
        <v>1502497</v>
      </c>
      <c r="AE98" s="16"/>
    </row>
    <row r="99" spans="2:31" collapsed="1" x14ac:dyDescent="0.35">
      <c r="B99" s="30" t="s">
        <v>4</v>
      </c>
      <c r="C99" s="8">
        <f t="shared" ref="C99:AE99" si="26">C28+C55+C66+C81+C88+C89+C91+C94+C95</f>
        <v>195448.76</v>
      </c>
      <c r="D99" s="8">
        <f t="shared" si="26"/>
        <v>1099212.78</v>
      </c>
      <c r="E99" s="8">
        <f t="shared" si="26"/>
        <v>871397.35</v>
      </c>
      <c r="F99" s="8">
        <f t="shared" si="26"/>
        <v>79426.579999999987</v>
      </c>
      <c r="G99" s="8">
        <f t="shared" si="26"/>
        <v>50151.72</v>
      </c>
      <c r="H99" s="8">
        <f t="shared" si="26"/>
        <v>0</v>
      </c>
      <c r="I99" s="8">
        <f t="shared" si="26"/>
        <v>0</v>
      </c>
      <c r="J99" s="8">
        <f t="shared" si="26"/>
        <v>0</v>
      </c>
      <c r="K99" s="8">
        <f t="shared" si="26"/>
        <v>0</v>
      </c>
      <c r="L99" s="8">
        <f t="shared" si="26"/>
        <v>0</v>
      </c>
      <c r="M99" s="8">
        <f t="shared" si="26"/>
        <v>0</v>
      </c>
      <c r="N99" s="8">
        <f t="shared" si="26"/>
        <v>0</v>
      </c>
      <c r="O99" s="8">
        <f t="shared" si="26"/>
        <v>2295637.19</v>
      </c>
      <c r="P99" s="8">
        <f t="shared" si="26"/>
        <v>1502497</v>
      </c>
      <c r="Q99" s="8">
        <f t="shared" si="26"/>
        <v>1502497</v>
      </c>
      <c r="R99" s="8">
        <f t="shared" si="26"/>
        <v>0</v>
      </c>
      <c r="S99" s="8">
        <f t="shared" si="26"/>
        <v>0</v>
      </c>
      <c r="T99" s="8">
        <f t="shared" si="26"/>
        <v>0</v>
      </c>
      <c r="U99" s="8">
        <f t="shared" si="26"/>
        <v>0</v>
      </c>
      <c r="V99" s="8">
        <f t="shared" si="26"/>
        <v>0</v>
      </c>
      <c r="W99" s="8">
        <f t="shared" si="26"/>
        <v>0</v>
      </c>
      <c r="X99" s="8">
        <f t="shared" si="26"/>
        <v>0</v>
      </c>
      <c r="Y99" s="8">
        <f t="shared" si="26"/>
        <v>0</v>
      </c>
      <c r="Z99" s="8">
        <f t="shared" si="26"/>
        <v>0</v>
      </c>
      <c r="AA99" s="8">
        <f t="shared" si="26"/>
        <v>0</v>
      </c>
      <c r="AB99" s="8">
        <f t="shared" si="26"/>
        <v>0</v>
      </c>
      <c r="AC99" s="8">
        <f t="shared" si="26"/>
        <v>1502497</v>
      </c>
      <c r="AD99" s="29">
        <f t="shared" si="26"/>
        <v>1502497</v>
      </c>
      <c r="AE99" s="23">
        <f t="shared" si="26"/>
        <v>1221634.2500000002</v>
      </c>
    </row>
    <row r="100" spans="2:31" x14ac:dyDescent="0.3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E100" s="20"/>
    </row>
    <row r="101" spans="2:31" x14ac:dyDescent="0.3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E101" s="20"/>
    </row>
    <row r="102" spans="2:31" x14ac:dyDescent="0.3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E102" s="20"/>
    </row>
    <row r="103" spans="2:31" x14ac:dyDescent="0.35">
      <c r="B103" s="17" t="s">
        <v>23</v>
      </c>
      <c r="C103" s="1">
        <f t="shared" ref="C103:AC103" si="27">SUM(C104)</f>
        <v>0</v>
      </c>
      <c r="D103" s="1">
        <f t="shared" si="27"/>
        <v>0</v>
      </c>
      <c r="E103" s="1">
        <f t="shared" si="27"/>
        <v>0</v>
      </c>
      <c r="F103" s="1">
        <f t="shared" si="27"/>
        <v>0</v>
      </c>
      <c r="G103" s="1">
        <f t="shared" si="27"/>
        <v>0</v>
      </c>
      <c r="H103" s="1">
        <f t="shared" si="27"/>
        <v>0</v>
      </c>
      <c r="I103" s="1">
        <f t="shared" si="27"/>
        <v>0</v>
      </c>
      <c r="J103" s="1">
        <f t="shared" si="27"/>
        <v>0</v>
      </c>
      <c r="K103" s="1">
        <f t="shared" si="27"/>
        <v>0</v>
      </c>
      <c r="L103" s="1">
        <f t="shared" si="27"/>
        <v>0</v>
      </c>
      <c r="M103" s="1">
        <f t="shared" si="27"/>
        <v>0</v>
      </c>
      <c r="N103" s="1">
        <f t="shared" si="27"/>
        <v>0</v>
      </c>
      <c r="O103" s="1">
        <f t="shared" si="27"/>
        <v>0</v>
      </c>
      <c r="P103" s="1">
        <f t="shared" si="27"/>
        <v>0</v>
      </c>
      <c r="Q103" s="1">
        <f t="shared" si="27"/>
        <v>0</v>
      </c>
      <c r="R103" s="1">
        <f t="shared" si="27"/>
        <v>0</v>
      </c>
      <c r="S103" s="1">
        <f t="shared" si="27"/>
        <v>0</v>
      </c>
      <c r="T103" s="1">
        <f t="shared" si="27"/>
        <v>0</v>
      </c>
      <c r="U103" s="1">
        <f t="shared" si="27"/>
        <v>0</v>
      </c>
      <c r="V103" s="1">
        <f t="shared" si="27"/>
        <v>0</v>
      </c>
      <c r="W103" s="1">
        <f t="shared" si="27"/>
        <v>0</v>
      </c>
      <c r="X103" s="1">
        <f t="shared" si="27"/>
        <v>0</v>
      </c>
      <c r="Y103" s="1">
        <f t="shared" si="27"/>
        <v>0</v>
      </c>
      <c r="Z103" s="1">
        <f t="shared" si="27"/>
        <v>0</v>
      </c>
      <c r="AA103" s="1">
        <f t="shared" si="27"/>
        <v>0</v>
      </c>
      <c r="AB103" s="1">
        <f t="shared" si="27"/>
        <v>0</v>
      </c>
      <c r="AC103" s="1">
        <f t="shared" si="27"/>
        <v>0</v>
      </c>
      <c r="AD103" s="15">
        <f>SUM(AC103)</f>
        <v>0</v>
      </c>
      <c r="AE103" s="1">
        <f>SUM(AE104)</f>
        <v>186.65</v>
      </c>
    </row>
    <row r="104" spans="2:31" hidden="1" outlineLevel="1" x14ac:dyDescent="0.35">
      <c r="B104" s="14" t="str">
        <f>"8140"&amp;" - "&amp;"Rentekostnader"</f>
        <v>8140 - Rentekostnader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13">
        <f>AC104-O104</f>
        <v>0</v>
      </c>
      <c r="AE104" s="16">
        <v>186.65</v>
      </c>
    </row>
    <row r="105" spans="2:31" ht="16" collapsed="1" thickBot="1" x14ac:dyDescent="0.4">
      <c r="B105" s="28" t="s">
        <v>1</v>
      </c>
      <c r="C105" s="4">
        <f t="shared" ref="C105:AE105" si="28">C103+C99+C24</f>
        <v>195448.76</v>
      </c>
      <c r="D105" s="4">
        <f t="shared" si="28"/>
        <v>-112879.21999999997</v>
      </c>
      <c r="E105" s="4">
        <f t="shared" si="28"/>
        <v>389303.97</v>
      </c>
      <c r="F105" s="4">
        <f t="shared" si="28"/>
        <v>-714354.14</v>
      </c>
      <c r="G105" s="4">
        <f t="shared" si="28"/>
        <v>50151.72</v>
      </c>
      <c r="H105" s="4">
        <f t="shared" si="28"/>
        <v>0</v>
      </c>
      <c r="I105" s="4">
        <f t="shared" si="28"/>
        <v>0</v>
      </c>
      <c r="J105" s="4">
        <f t="shared" si="28"/>
        <v>0</v>
      </c>
      <c r="K105" s="4">
        <f t="shared" si="28"/>
        <v>0</v>
      </c>
      <c r="L105" s="4">
        <f t="shared" si="28"/>
        <v>0</v>
      </c>
      <c r="M105" s="4">
        <f t="shared" si="28"/>
        <v>0</v>
      </c>
      <c r="N105" s="4">
        <f t="shared" si="28"/>
        <v>0</v>
      </c>
      <c r="O105" s="4">
        <f t="shared" si="28"/>
        <v>-192328.91000000015</v>
      </c>
      <c r="P105" s="4">
        <f t="shared" si="28"/>
        <v>300000</v>
      </c>
      <c r="Q105" s="4">
        <f t="shared" si="28"/>
        <v>2704994</v>
      </c>
      <c r="R105" s="4">
        <f t="shared" si="28"/>
        <v>0</v>
      </c>
      <c r="S105" s="4">
        <f t="shared" si="28"/>
        <v>0</v>
      </c>
      <c r="T105" s="4">
        <f t="shared" si="28"/>
        <v>0</v>
      </c>
      <c r="U105" s="4">
        <f t="shared" si="28"/>
        <v>0</v>
      </c>
      <c r="V105" s="4">
        <f t="shared" si="28"/>
        <v>0</v>
      </c>
      <c r="W105" s="4">
        <f t="shared" si="28"/>
        <v>0</v>
      </c>
      <c r="X105" s="4">
        <f t="shared" si="28"/>
        <v>0</v>
      </c>
      <c r="Y105" s="4">
        <f t="shared" si="28"/>
        <v>0</v>
      </c>
      <c r="Z105" s="4">
        <f t="shared" si="28"/>
        <v>0</v>
      </c>
      <c r="AA105" s="4">
        <f t="shared" si="28"/>
        <v>0</v>
      </c>
      <c r="AB105" s="4">
        <f t="shared" si="28"/>
        <v>0</v>
      </c>
      <c r="AC105" s="4">
        <f t="shared" si="28"/>
        <v>300000</v>
      </c>
      <c r="AD105" s="4">
        <f t="shared" si="28"/>
        <v>300000</v>
      </c>
      <c r="AE105" s="4">
        <f t="shared" si="28"/>
        <v>-9.9999999860301614E-2</v>
      </c>
    </row>
    <row r="106" spans="2:31" ht="15" thickTop="1" x14ac:dyDescent="0.35"/>
    <row r="107" spans="2:31" ht="29" x14ac:dyDescent="0.35">
      <c r="B107" s="33" t="s">
        <v>25</v>
      </c>
    </row>
    <row r="108" spans="2:31" x14ac:dyDescent="0.35">
      <c r="B108" s="33"/>
    </row>
    <row r="109" spans="2:31" ht="29" x14ac:dyDescent="0.35">
      <c r="B109" s="33" t="s">
        <v>26</v>
      </c>
    </row>
    <row r="110" spans="2:31" x14ac:dyDescent="0.35">
      <c r="B110" s="33"/>
    </row>
    <row r="111" spans="2:31" ht="43.5" x14ac:dyDescent="0.35">
      <c r="B111" s="33" t="s">
        <v>27</v>
      </c>
    </row>
  </sheetData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OneStop Reporting</dc:creator>
  <cp:lastModifiedBy>Hofstad, Marianne Bjørnson</cp:lastModifiedBy>
  <dcterms:created xsi:type="dcterms:W3CDTF">2016-12-12T14:48:14Z</dcterms:created>
  <dcterms:modified xsi:type="dcterms:W3CDTF">2025-06-12T13:31:43Z</dcterms:modified>
</cp:coreProperties>
</file>