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Truls\Desktop\"/>
    </mc:Choice>
  </mc:AlternateContent>
  <xr:revisionPtr revIDLastSave="0" documentId="8_{843AE45B-3C49-4AB3-908F-6E21B46A6644}" xr6:coauthVersionLast="47" xr6:coauthVersionMax="47" xr10:uidLastSave="{00000000-0000-0000-0000-000000000000}"/>
  <bookViews>
    <workbookView xWindow="-108" yWindow="-108" windowWidth="23256" windowHeight="12576" tabRatio="932" activeTab="1" xr2:uid="{00000000-000D-0000-FFFF-FFFF00000000}"/>
  </bookViews>
  <sheets>
    <sheet name="Saldobalanse 2021" sheetId="26" r:id="rId1"/>
    <sheet name="Årsregnskap 2021" sheetId="27" r:id="rId2"/>
    <sheet name="Noter 2021" sheetId="28" r:id="rId3"/>
    <sheet name="Saldobalanse 2020" sheetId="23" r:id="rId4"/>
    <sheet name="Årsregnskap 2020" sheetId="24" r:id="rId5"/>
    <sheet name="Noter 2020" sheetId="25" r:id="rId6"/>
    <sheet name="Saldobalanse 2019" sheetId="20" r:id="rId7"/>
    <sheet name="Årsregnskap 2019" sheetId="22" r:id="rId8"/>
    <sheet name="Noter 2019" sheetId="21" r:id="rId9"/>
    <sheet name="Saldobalanse 2018" sheetId="17" r:id="rId10"/>
    <sheet name="Årsregnskap 2018" sheetId="18" r:id="rId11"/>
    <sheet name="Noter 2018" sheetId="19" r:id="rId12"/>
    <sheet name="Årsregnskap 2017" sheetId="16" r:id="rId13"/>
    <sheet name="Noter 2017" sheetId="15" r:id="rId14"/>
    <sheet name="Saldobalanse 2017" sheetId="14" r:id="rId15"/>
    <sheet name="Årsregnskap 2016" sheetId="11" r:id="rId16"/>
    <sheet name="Noter 2016" sheetId="12" r:id="rId17"/>
    <sheet name="Saldobalanse 2016" sheetId="10" r:id="rId18"/>
    <sheet name="Årsregnskap 2015" sheetId="8" r:id="rId19"/>
    <sheet name="Noter 2015" sheetId="9" r:id="rId20"/>
    <sheet name="Saldobalanse 2015" sheetId="13" r:id="rId21"/>
    <sheet name="Årsregnskap 2014" sheetId="6" r:id="rId22"/>
    <sheet name="Noter 2014" sheetId="7" r:id="rId23"/>
    <sheet name="Saldobalanse 2014" sheetId="5" r:id="rId24"/>
    <sheet name="Årsregnskap 2013" sheetId="2" r:id="rId25"/>
    <sheet name="Noter 2013" sheetId="4" r:id="rId26"/>
    <sheet name="saldobalanse 2013, alle" sheetId="1" r:id="rId27"/>
    <sheet name="Saldobalanse 2012 og 2013" sheetId="3" r:id="rId28"/>
  </sheets>
  <definedNames>
    <definedName name="AS2DocOpenMode" hidden="1">"AS2DocumentEdit"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6" i="28" l="1"/>
  <c r="D157" i="28" s="1"/>
  <c r="F225" i="28"/>
  <c r="D236" i="28"/>
  <c r="E236" i="28"/>
  <c r="D155" i="25"/>
  <c r="D144" i="28"/>
  <c r="D137" i="28"/>
  <c r="D138" i="28"/>
  <c r="D130" i="28"/>
  <c r="D123" i="28"/>
  <c r="D116" i="28"/>
  <c r="D108" i="28"/>
  <c r="D101" i="28"/>
  <c r="D94" i="28"/>
  <c r="D87" i="28"/>
  <c r="F97" i="26"/>
  <c r="F113" i="26" s="1"/>
  <c r="K90" i="26"/>
  <c r="K91" i="26"/>
  <c r="K92" i="26"/>
  <c r="J90" i="26"/>
  <c r="J91" i="26"/>
  <c r="J92" i="26"/>
  <c r="J93" i="26"/>
  <c r="I92" i="26"/>
  <c r="I90" i="26"/>
  <c r="K15" i="26"/>
  <c r="J15" i="26"/>
  <c r="I15" i="26"/>
  <c r="K8" i="26"/>
  <c r="J8" i="26"/>
  <c r="I8" i="26"/>
  <c r="D38" i="28"/>
  <c r="D37" i="28"/>
  <c r="D36" i="28"/>
  <c r="D35" i="28"/>
  <c r="C38" i="28"/>
  <c r="C37" i="28"/>
  <c r="C36" i="28"/>
  <c r="C35" i="28"/>
  <c r="C236" i="28"/>
  <c r="F235" i="28"/>
  <c r="F234" i="28"/>
  <c r="F233" i="28"/>
  <c r="F232" i="28"/>
  <c r="F231" i="28"/>
  <c r="F230" i="28"/>
  <c r="F229" i="28"/>
  <c r="F228" i="28"/>
  <c r="F227" i="28"/>
  <c r="F226" i="28"/>
  <c r="F224" i="28"/>
  <c r="F223" i="28"/>
  <c r="F222" i="28"/>
  <c r="F221" i="28"/>
  <c r="F220" i="28"/>
  <c r="F219" i="28"/>
  <c r="F218" i="28"/>
  <c r="F217" i="28"/>
  <c r="F216" i="28"/>
  <c r="F215" i="28"/>
  <c r="F214" i="28"/>
  <c r="F213" i="28"/>
  <c r="F212" i="28"/>
  <c r="F211" i="28"/>
  <c r="F210" i="28"/>
  <c r="F209" i="28"/>
  <c r="F208" i="28"/>
  <c r="F207" i="28"/>
  <c r="F206" i="28"/>
  <c r="F205" i="28"/>
  <c r="F204" i="28"/>
  <c r="F203" i="28"/>
  <c r="F202" i="28"/>
  <c r="F201" i="28"/>
  <c r="F200" i="28"/>
  <c r="F199" i="28"/>
  <c r="F198" i="28"/>
  <c r="F197" i="28"/>
  <c r="F196" i="28"/>
  <c r="F195" i="28"/>
  <c r="F194" i="28"/>
  <c r="F193" i="28"/>
  <c r="F192" i="28"/>
  <c r="F191" i="28"/>
  <c r="F190" i="28"/>
  <c r="F189" i="28"/>
  <c r="F188" i="28"/>
  <c r="F187" i="28"/>
  <c r="F186" i="28"/>
  <c r="F185" i="28"/>
  <c r="E173" i="28"/>
  <c r="C173" i="28"/>
  <c r="D171" i="28"/>
  <c r="C171" i="28"/>
  <c r="E169" i="28"/>
  <c r="E168" i="28"/>
  <c r="D140" i="28"/>
  <c r="D132" i="28"/>
  <c r="D125" i="28"/>
  <c r="D118" i="28"/>
  <c r="B110" i="28"/>
  <c r="B118" i="28" s="1"/>
  <c r="B125" i="28" s="1"/>
  <c r="B132" i="28" s="1"/>
  <c r="B140" i="28" s="1"/>
  <c r="B150" i="28" s="1"/>
  <c r="B157" i="28" s="1"/>
  <c r="D110" i="28"/>
  <c r="D103" i="28"/>
  <c r="D93" i="28"/>
  <c r="D96" i="28" s="1"/>
  <c r="D89" i="28"/>
  <c r="D79" i="28"/>
  <c r="D64" i="28"/>
  <c r="D39" i="28"/>
  <c r="A57" i="27"/>
  <c r="D40" i="27"/>
  <c r="D60" i="27" s="1"/>
  <c r="C40" i="27"/>
  <c r="C60" i="27" s="1"/>
  <c r="K258" i="26"/>
  <c r="J258" i="26"/>
  <c r="F258" i="26"/>
  <c r="C258" i="26"/>
  <c r="I257" i="26"/>
  <c r="G257" i="26"/>
  <c r="D26" i="27" s="1"/>
  <c r="D257" i="26"/>
  <c r="K256" i="26"/>
  <c r="J256" i="26"/>
  <c r="I256" i="26"/>
  <c r="K255" i="26"/>
  <c r="J255" i="26"/>
  <c r="I255" i="26"/>
  <c r="K254" i="26"/>
  <c r="J254" i="26"/>
  <c r="I254" i="26"/>
  <c r="K253" i="26"/>
  <c r="J253" i="26"/>
  <c r="I253" i="26"/>
  <c r="K252" i="26"/>
  <c r="I252" i="26"/>
  <c r="G252" i="26"/>
  <c r="D25" i="27" s="1"/>
  <c r="D252" i="26"/>
  <c r="C25" i="27" s="1"/>
  <c r="K251" i="26"/>
  <c r="J251" i="26"/>
  <c r="I251" i="26"/>
  <c r="K250" i="26"/>
  <c r="J250" i="26"/>
  <c r="K249" i="26"/>
  <c r="F249" i="26"/>
  <c r="G249" i="26" s="1"/>
  <c r="D19" i="27" s="1"/>
  <c r="C249" i="26"/>
  <c r="K248" i="26"/>
  <c r="J248" i="26"/>
  <c r="I248" i="26"/>
  <c r="K247" i="26"/>
  <c r="J247" i="26"/>
  <c r="I247" i="26"/>
  <c r="K246" i="26"/>
  <c r="J246" i="26"/>
  <c r="I246" i="26"/>
  <c r="K245" i="26"/>
  <c r="J245" i="26"/>
  <c r="I245" i="26"/>
  <c r="K244" i="26"/>
  <c r="J244" i="26"/>
  <c r="I244" i="26"/>
  <c r="K243" i="26"/>
  <c r="J243" i="26"/>
  <c r="I243" i="26"/>
  <c r="K242" i="26"/>
  <c r="J242" i="26"/>
  <c r="I242" i="26"/>
  <c r="K241" i="26"/>
  <c r="J241" i="26"/>
  <c r="I241" i="26"/>
  <c r="K240" i="26"/>
  <c r="J240" i="26"/>
  <c r="I240" i="26"/>
  <c r="K239" i="26"/>
  <c r="J239" i="26"/>
  <c r="I239" i="26"/>
  <c r="K238" i="26"/>
  <c r="J238" i="26"/>
  <c r="I238" i="26"/>
  <c r="K237" i="26"/>
  <c r="J237" i="26"/>
  <c r="I237" i="26"/>
  <c r="K236" i="26"/>
  <c r="J236" i="26"/>
  <c r="I236" i="26"/>
  <c r="K235" i="26"/>
  <c r="J235" i="26"/>
  <c r="I235" i="26"/>
  <c r="K234" i="26"/>
  <c r="J234" i="26"/>
  <c r="I234" i="26"/>
  <c r="K233" i="26"/>
  <c r="J233" i="26"/>
  <c r="I233" i="26"/>
  <c r="K232" i="26"/>
  <c r="J232" i="26"/>
  <c r="I232" i="26"/>
  <c r="K231" i="26"/>
  <c r="J231" i="26"/>
  <c r="I231" i="26"/>
  <c r="K230" i="26"/>
  <c r="J230" i="26"/>
  <c r="I230" i="26"/>
  <c r="K229" i="26"/>
  <c r="J229" i="26"/>
  <c r="I229" i="26"/>
  <c r="K228" i="26"/>
  <c r="J228" i="26"/>
  <c r="I228" i="26"/>
  <c r="K227" i="26"/>
  <c r="J227" i="26"/>
  <c r="I227" i="26"/>
  <c r="K226" i="26"/>
  <c r="J226" i="26"/>
  <c r="I226" i="26"/>
  <c r="K225" i="26"/>
  <c r="J225" i="26"/>
  <c r="I225" i="26"/>
  <c r="K224" i="26"/>
  <c r="J224" i="26"/>
  <c r="I224" i="26"/>
  <c r="K223" i="26"/>
  <c r="J223" i="26"/>
  <c r="I223" i="26"/>
  <c r="J222" i="26"/>
  <c r="I222" i="26"/>
  <c r="K221" i="26"/>
  <c r="J221" i="26"/>
  <c r="I221" i="26"/>
  <c r="K220" i="26"/>
  <c r="J220" i="26"/>
  <c r="I220" i="26"/>
  <c r="K219" i="26"/>
  <c r="J219" i="26"/>
  <c r="I219" i="26"/>
  <c r="K218" i="26"/>
  <c r="J218" i="26"/>
  <c r="I218" i="26"/>
  <c r="K217" i="26"/>
  <c r="J217" i="26"/>
  <c r="I217" i="26"/>
  <c r="K216" i="26"/>
  <c r="J216" i="26"/>
  <c r="I216" i="26"/>
  <c r="K215" i="26"/>
  <c r="J215" i="26"/>
  <c r="I215" i="26"/>
  <c r="K214" i="26"/>
  <c r="J214" i="26"/>
  <c r="I214" i="26"/>
  <c r="K213" i="26"/>
  <c r="J213" i="26"/>
  <c r="I213" i="26"/>
  <c r="K212" i="26"/>
  <c r="J212" i="26"/>
  <c r="I212" i="26"/>
  <c r="K211" i="26"/>
  <c r="J211" i="26"/>
  <c r="I211" i="26"/>
  <c r="K210" i="26"/>
  <c r="J210" i="26"/>
  <c r="I210" i="26"/>
  <c r="K209" i="26"/>
  <c r="J209" i="26"/>
  <c r="I209" i="26"/>
  <c r="K208" i="26"/>
  <c r="J208" i="26"/>
  <c r="I208" i="26"/>
  <c r="K207" i="26"/>
  <c r="J207" i="26"/>
  <c r="I207" i="26"/>
  <c r="K206" i="26"/>
  <c r="J206" i="26"/>
  <c r="I206" i="26"/>
  <c r="K205" i="26"/>
  <c r="J205" i="26"/>
  <c r="I205" i="26"/>
  <c r="K204" i="26"/>
  <c r="J204" i="26"/>
  <c r="I204" i="26"/>
  <c r="K203" i="26"/>
  <c r="J203" i="26"/>
  <c r="I203" i="26"/>
  <c r="K202" i="26"/>
  <c r="J202" i="26"/>
  <c r="I202" i="26"/>
  <c r="K201" i="26"/>
  <c r="J201" i="26"/>
  <c r="I201" i="26"/>
  <c r="K200" i="26"/>
  <c r="J200" i="26"/>
  <c r="I200" i="26"/>
  <c r="K199" i="26"/>
  <c r="J199" i="26"/>
  <c r="I199" i="26"/>
  <c r="K198" i="26"/>
  <c r="J198" i="26"/>
  <c r="I198" i="26"/>
  <c r="K197" i="26"/>
  <c r="J197" i="26"/>
  <c r="I197" i="26"/>
  <c r="K196" i="26"/>
  <c r="J196" i="26"/>
  <c r="I196" i="26"/>
  <c r="K195" i="26"/>
  <c r="J195" i="26"/>
  <c r="I195" i="26"/>
  <c r="K194" i="26"/>
  <c r="J194" i="26"/>
  <c r="I194" i="26"/>
  <c r="K193" i="26"/>
  <c r="J193" i="26"/>
  <c r="I193" i="26"/>
  <c r="K192" i="26"/>
  <c r="J192" i="26"/>
  <c r="I192" i="26"/>
  <c r="K191" i="26"/>
  <c r="J191" i="26"/>
  <c r="I191" i="26"/>
  <c r="K190" i="26"/>
  <c r="I190" i="26"/>
  <c r="G190" i="26"/>
  <c r="D17" i="27" s="1"/>
  <c r="D190" i="26"/>
  <c r="J190" i="26" s="1"/>
  <c r="K189" i="26"/>
  <c r="J189" i="26"/>
  <c r="I189" i="26"/>
  <c r="K188" i="26"/>
  <c r="J188" i="26"/>
  <c r="I188" i="26"/>
  <c r="K187" i="26"/>
  <c r="J187" i="26"/>
  <c r="I187" i="26"/>
  <c r="K186" i="26"/>
  <c r="J186" i="26"/>
  <c r="K185" i="26"/>
  <c r="F185" i="26"/>
  <c r="G185" i="26" s="1"/>
  <c r="D18" i="27" s="1"/>
  <c r="C185" i="26"/>
  <c r="K184" i="26"/>
  <c r="J184" i="26"/>
  <c r="I184" i="26"/>
  <c r="K183" i="26"/>
  <c r="J183" i="26"/>
  <c r="I183" i="26"/>
  <c r="K182" i="26"/>
  <c r="J182" i="26"/>
  <c r="I182" i="26"/>
  <c r="K181" i="26"/>
  <c r="J181" i="26"/>
  <c r="I181" i="26"/>
  <c r="K180" i="26"/>
  <c r="J180" i="26"/>
  <c r="I180" i="26"/>
  <c r="K179" i="26"/>
  <c r="J179" i="26"/>
  <c r="I179" i="26"/>
  <c r="K178" i="26"/>
  <c r="J178" i="26"/>
  <c r="I178" i="26"/>
  <c r="K177" i="26"/>
  <c r="J177" i="26"/>
  <c r="I177" i="26"/>
  <c r="K176" i="26"/>
  <c r="J176" i="26"/>
  <c r="I176" i="26"/>
  <c r="K175" i="26"/>
  <c r="J175" i="26"/>
  <c r="I175" i="26"/>
  <c r="K174" i="26"/>
  <c r="J174" i="26"/>
  <c r="I174" i="26"/>
  <c r="K173" i="26"/>
  <c r="J173" i="26"/>
  <c r="I173" i="26"/>
  <c r="K172" i="26"/>
  <c r="J172" i="26"/>
  <c r="I172" i="26"/>
  <c r="K171" i="26"/>
  <c r="J171" i="26"/>
  <c r="I171" i="26"/>
  <c r="K170" i="26"/>
  <c r="J170" i="26"/>
  <c r="I170" i="26"/>
  <c r="K169" i="26"/>
  <c r="I169" i="26"/>
  <c r="K168" i="26"/>
  <c r="J168" i="26"/>
  <c r="I168" i="26"/>
  <c r="K167" i="26"/>
  <c r="J167" i="26"/>
  <c r="I167" i="26"/>
  <c r="K166" i="26"/>
  <c r="J166" i="26"/>
  <c r="I166" i="26"/>
  <c r="K165" i="26"/>
  <c r="J165" i="26"/>
  <c r="I165" i="26"/>
  <c r="K164" i="26"/>
  <c r="J164" i="26"/>
  <c r="I164" i="26"/>
  <c r="K163" i="26"/>
  <c r="J163" i="26"/>
  <c r="I163" i="26"/>
  <c r="K162" i="26"/>
  <c r="J162" i="26"/>
  <c r="I162" i="26"/>
  <c r="K161" i="26"/>
  <c r="J161" i="26"/>
  <c r="I161" i="26"/>
  <c r="K160" i="26"/>
  <c r="J160" i="26"/>
  <c r="K159" i="26"/>
  <c r="G159" i="26"/>
  <c r="H257" i="26" s="1"/>
  <c r="C159" i="26"/>
  <c r="I159" i="26" s="1"/>
  <c r="K158" i="26"/>
  <c r="J158" i="26"/>
  <c r="I158" i="26"/>
  <c r="K157" i="26"/>
  <c r="J157" i="26"/>
  <c r="I157" i="26"/>
  <c r="K156" i="26"/>
  <c r="J156" i="26"/>
  <c r="I156" i="26"/>
  <c r="K155" i="26"/>
  <c r="J155" i="26"/>
  <c r="I155" i="26"/>
  <c r="K154" i="26"/>
  <c r="J154" i="26"/>
  <c r="I154" i="26"/>
  <c r="K153" i="26"/>
  <c r="J153" i="26"/>
  <c r="I153" i="26"/>
  <c r="K152" i="26"/>
  <c r="J152" i="26"/>
  <c r="I152" i="26"/>
  <c r="K151" i="26"/>
  <c r="J151" i="26"/>
  <c r="I151" i="26"/>
  <c r="K150" i="26"/>
  <c r="J150" i="26"/>
  <c r="I150" i="26"/>
  <c r="K149" i="26"/>
  <c r="J149" i="26"/>
  <c r="I149" i="26"/>
  <c r="K148" i="26"/>
  <c r="J148" i="26"/>
  <c r="I148" i="26"/>
  <c r="K147" i="26"/>
  <c r="J147" i="26"/>
  <c r="I147" i="26"/>
  <c r="K146" i="26"/>
  <c r="J146" i="26"/>
  <c r="I146" i="26"/>
  <c r="K145" i="26"/>
  <c r="J145" i="26"/>
  <c r="I145" i="26"/>
  <c r="K144" i="26"/>
  <c r="J144" i="26"/>
  <c r="I144" i="26"/>
  <c r="K143" i="26"/>
  <c r="J143" i="26"/>
  <c r="I143" i="26"/>
  <c r="K142" i="26"/>
  <c r="F141" i="26"/>
  <c r="C141" i="26"/>
  <c r="K140" i="26"/>
  <c r="I139" i="26"/>
  <c r="K138" i="26"/>
  <c r="I138" i="26"/>
  <c r="G138" i="26"/>
  <c r="D12" i="27" s="1"/>
  <c r="D138" i="26"/>
  <c r="C12" i="27" s="1"/>
  <c r="K137" i="26"/>
  <c r="J137" i="26"/>
  <c r="I137" i="26"/>
  <c r="K136" i="26"/>
  <c r="J136" i="26"/>
  <c r="I136" i="26"/>
  <c r="K135" i="26"/>
  <c r="J135" i="26"/>
  <c r="I135" i="26"/>
  <c r="K134" i="26"/>
  <c r="J134" i="26"/>
  <c r="I134" i="26"/>
  <c r="K133" i="26"/>
  <c r="I133" i="26"/>
  <c r="G133" i="26"/>
  <c r="D10" i="27" s="1"/>
  <c r="D133" i="26"/>
  <c r="C10" i="27" s="1"/>
  <c r="K132" i="26"/>
  <c r="J132" i="26"/>
  <c r="I132" i="26"/>
  <c r="K131" i="26"/>
  <c r="J131" i="26"/>
  <c r="I131" i="26"/>
  <c r="K130" i="26"/>
  <c r="J130" i="26"/>
  <c r="I130" i="26"/>
  <c r="K129" i="26"/>
  <c r="J129" i="26"/>
  <c r="I129" i="26"/>
  <c r="K128" i="26"/>
  <c r="J128" i="26"/>
  <c r="I128" i="26"/>
  <c r="K127" i="26"/>
  <c r="J127" i="26"/>
  <c r="I127" i="26"/>
  <c r="K126" i="26"/>
  <c r="I126" i="26"/>
  <c r="G126" i="26"/>
  <c r="D126" i="26"/>
  <c r="C11" i="27" s="1"/>
  <c r="K125" i="26"/>
  <c r="J125" i="26"/>
  <c r="I125" i="26"/>
  <c r="K124" i="26"/>
  <c r="J124" i="26"/>
  <c r="I124" i="26"/>
  <c r="K123" i="26"/>
  <c r="J123" i="26"/>
  <c r="I123" i="26"/>
  <c r="K122" i="26"/>
  <c r="J122" i="26"/>
  <c r="I122" i="26"/>
  <c r="K121" i="26"/>
  <c r="J121" i="26"/>
  <c r="I121" i="26"/>
  <c r="K120" i="26"/>
  <c r="I120" i="26"/>
  <c r="G120" i="26"/>
  <c r="D9" i="27" s="1"/>
  <c r="D120" i="26"/>
  <c r="K119" i="26"/>
  <c r="J119" i="26"/>
  <c r="I119" i="26"/>
  <c r="K118" i="26"/>
  <c r="J118" i="26"/>
  <c r="I118" i="26"/>
  <c r="K117" i="26"/>
  <c r="J117" i="26"/>
  <c r="I117" i="26"/>
  <c r="K116" i="26"/>
  <c r="J116" i="26"/>
  <c r="I116" i="26"/>
  <c r="K115" i="26"/>
  <c r="J115" i="26"/>
  <c r="I115" i="26"/>
  <c r="K114" i="26"/>
  <c r="J114" i="26"/>
  <c r="J113" i="26"/>
  <c r="I112" i="26"/>
  <c r="G112" i="26"/>
  <c r="D112" i="26"/>
  <c r="C74" i="27" s="1"/>
  <c r="K111" i="26"/>
  <c r="J111" i="26"/>
  <c r="I111" i="26"/>
  <c r="K110" i="26"/>
  <c r="J110" i="26"/>
  <c r="I110" i="26"/>
  <c r="K109" i="26"/>
  <c r="J109" i="26"/>
  <c r="I109" i="26"/>
  <c r="K108" i="26"/>
  <c r="J108" i="26"/>
  <c r="I108" i="26"/>
  <c r="K107" i="26"/>
  <c r="J107" i="26"/>
  <c r="I107" i="26"/>
  <c r="K106" i="26"/>
  <c r="I106" i="26"/>
  <c r="G106" i="26"/>
  <c r="D73" i="27" s="1"/>
  <c r="D106" i="26"/>
  <c r="C73" i="27" s="1"/>
  <c r="K105" i="26"/>
  <c r="J105" i="26"/>
  <c r="I105" i="26"/>
  <c r="K104" i="26"/>
  <c r="I104" i="26"/>
  <c r="G104" i="26"/>
  <c r="J104" i="26" s="1"/>
  <c r="D104" i="26"/>
  <c r="C67" i="27" s="1"/>
  <c r="K103" i="26"/>
  <c r="J103" i="26"/>
  <c r="I103" i="26"/>
  <c r="K102" i="26"/>
  <c r="J102" i="26"/>
  <c r="I102" i="26"/>
  <c r="K101" i="26"/>
  <c r="I101" i="26"/>
  <c r="G101" i="26"/>
  <c r="D72" i="27" s="1"/>
  <c r="D101" i="26"/>
  <c r="C72" i="27" s="1"/>
  <c r="K100" i="26"/>
  <c r="I100" i="26"/>
  <c r="G100" i="26"/>
  <c r="D68" i="27" s="1"/>
  <c r="D100" i="26"/>
  <c r="K99" i="26"/>
  <c r="J99" i="26"/>
  <c r="I99" i="26"/>
  <c r="K98" i="26"/>
  <c r="J98" i="26"/>
  <c r="I98" i="26"/>
  <c r="K96" i="26"/>
  <c r="J96" i="26"/>
  <c r="I96" i="26"/>
  <c r="K95" i="26"/>
  <c r="J95" i="26"/>
  <c r="I95" i="26"/>
  <c r="K94" i="26"/>
  <c r="J94" i="26"/>
  <c r="I94" i="26"/>
  <c r="K93" i="26"/>
  <c r="I93" i="26"/>
  <c r="I91" i="26"/>
  <c r="K89" i="26"/>
  <c r="J89" i="26"/>
  <c r="I89" i="26"/>
  <c r="K88" i="26"/>
  <c r="J88" i="26"/>
  <c r="I88" i="26"/>
  <c r="K87" i="26"/>
  <c r="J87" i="26"/>
  <c r="I87" i="26"/>
  <c r="K86" i="26"/>
  <c r="J86" i="26"/>
  <c r="I86" i="26"/>
  <c r="K85" i="26"/>
  <c r="I85" i="26"/>
  <c r="G85" i="26"/>
  <c r="D85" i="26"/>
  <c r="C62" i="27" s="1"/>
  <c r="K84" i="26"/>
  <c r="J84" i="26"/>
  <c r="I84" i="26"/>
  <c r="K83" i="26"/>
  <c r="J83" i="26"/>
  <c r="I83" i="26"/>
  <c r="K82" i="26"/>
  <c r="J82" i="26"/>
  <c r="I82" i="26"/>
  <c r="K81" i="26"/>
  <c r="J81" i="26"/>
  <c r="I81" i="26"/>
  <c r="K80" i="26"/>
  <c r="J80" i="26"/>
  <c r="I80" i="26"/>
  <c r="K79" i="26"/>
  <c r="J79" i="26"/>
  <c r="I79" i="26"/>
  <c r="K78" i="26"/>
  <c r="J78" i="26"/>
  <c r="I78" i="26"/>
  <c r="K77" i="26"/>
  <c r="J77" i="26"/>
  <c r="I77" i="26"/>
  <c r="K76" i="26"/>
  <c r="J76" i="26"/>
  <c r="I76" i="26"/>
  <c r="K75" i="26"/>
  <c r="J75" i="26"/>
  <c r="I75" i="26"/>
  <c r="K74" i="26"/>
  <c r="J74" i="26"/>
  <c r="I74" i="26"/>
  <c r="K73" i="26"/>
  <c r="J73" i="26"/>
  <c r="I73" i="26"/>
  <c r="K72" i="26"/>
  <c r="J72" i="26"/>
  <c r="I72" i="26"/>
  <c r="K71" i="26"/>
  <c r="J71" i="26"/>
  <c r="I71" i="26"/>
  <c r="K70" i="26"/>
  <c r="J70" i="26"/>
  <c r="I70" i="26"/>
  <c r="K69" i="26"/>
  <c r="J69" i="26"/>
  <c r="I69" i="26"/>
  <c r="K68" i="26"/>
  <c r="J68" i="26"/>
  <c r="I68" i="26"/>
  <c r="K67" i="26"/>
  <c r="J67" i="26"/>
  <c r="I67" i="26"/>
  <c r="K66" i="26"/>
  <c r="J66" i="26"/>
  <c r="I66" i="26"/>
  <c r="K65" i="26"/>
  <c r="J65" i="26"/>
  <c r="I65" i="26"/>
  <c r="K64" i="26"/>
  <c r="J64" i="26"/>
  <c r="I64" i="26"/>
  <c r="K63" i="26"/>
  <c r="J63" i="26"/>
  <c r="I63" i="26"/>
  <c r="K62" i="26"/>
  <c r="J62" i="26"/>
  <c r="I62" i="26"/>
  <c r="K61" i="26"/>
  <c r="J61" i="26"/>
  <c r="I61" i="26"/>
  <c r="K60" i="26"/>
  <c r="J60" i="26"/>
  <c r="I60" i="26"/>
  <c r="K59" i="26"/>
  <c r="J59" i="26"/>
  <c r="I59" i="26"/>
  <c r="K58" i="26"/>
  <c r="J58" i="26"/>
  <c r="I58" i="26"/>
  <c r="K57" i="26"/>
  <c r="J57" i="26"/>
  <c r="I57" i="26"/>
  <c r="K56" i="26"/>
  <c r="J56" i="26"/>
  <c r="I56" i="26"/>
  <c r="K55" i="26"/>
  <c r="J55" i="26"/>
  <c r="I55" i="26"/>
  <c r="K54" i="26"/>
  <c r="J54" i="26"/>
  <c r="I54" i="26"/>
  <c r="K53" i="26"/>
  <c r="J53" i="26"/>
  <c r="I53" i="26"/>
  <c r="K52" i="26"/>
  <c r="J52" i="26"/>
  <c r="I52" i="26"/>
  <c r="K51" i="26"/>
  <c r="J51" i="26"/>
  <c r="I51" i="26"/>
  <c r="K50" i="26"/>
  <c r="J50" i="26"/>
  <c r="I50" i="26"/>
  <c r="K49" i="26"/>
  <c r="J49" i="26"/>
  <c r="I49" i="26"/>
  <c r="K48" i="26"/>
  <c r="J48" i="26"/>
  <c r="I48" i="26"/>
  <c r="K47" i="26"/>
  <c r="J47" i="26"/>
  <c r="I47" i="26"/>
  <c r="K46" i="26"/>
  <c r="J45" i="26"/>
  <c r="C45" i="26"/>
  <c r="I44" i="26"/>
  <c r="G44" i="26"/>
  <c r="D51" i="27" s="1"/>
  <c r="D44" i="26"/>
  <c r="C51" i="27" s="1"/>
  <c r="K43" i="26"/>
  <c r="J43" i="26"/>
  <c r="I43" i="26"/>
  <c r="K42" i="26"/>
  <c r="J42" i="26"/>
  <c r="I42" i="26"/>
  <c r="K41" i="26"/>
  <c r="J41" i="26"/>
  <c r="I41" i="26"/>
  <c r="K40" i="26"/>
  <c r="J40" i="26"/>
  <c r="I40" i="26"/>
  <c r="K39" i="26"/>
  <c r="J39" i="26"/>
  <c r="I39" i="26"/>
  <c r="K38" i="26"/>
  <c r="J38" i="26"/>
  <c r="I38" i="26"/>
  <c r="K37" i="26"/>
  <c r="J37" i="26"/>
  <c r="I37" i="26"/>
  <c r="K36" i="26"/>
  <c r="J36" i="26"/>
  <c r="I36" i="26"/>
  <c r="K35" i="26"/>
  <c r="J35" i="26"/>
  <c r="I35" i="26"/>
  <c r="K34" i="26"/>
  <c r="J34" i="26"/>
  <c r="I34" i="26"/>
  <c r="K33" i="26"/>
  <c r="J33" i="26"/>
  <c r="I33" i="26"/>
  <c r="K32" i="26"/>
  <c r="J32" i="26"/>
  <c r="I32" i="26"/>
  <c r="K31" i="26"/>
  <c r="J31" i="26"/>
  <c r="I31" i="26"/>
  <c r="K30" i="26"/>
  <c r="J30" i="26"/>
  <c r="I30" i="26"/>
  <c r="K29" i="26"/>
  <c r="J29" i="26"/>
  <c r="I29" i="26"/>
  <c r="K28" i="26"/>
  <c r="I28" i="26"/>
  <c r="G28" i="26"/>
  <c r="D28" i="26"/>
  <c r="C50" i="27" s="1"/>
  <c r="K27" i="26"/>
  <c r="J27" i="26"/>
  <c r="I27" i="26"/>
  <c r="K26" i="26"/>
  <c r="J26" i="26"/>
  <c r="I26" i="26"/>
  <c r="K25" i="26"/>
  <c r="J25" i="26"/>
  <c r="I25" i="26"/>
  <c r="K24" i="26"/>
  <c r="J24" i="26"/>
  <c r="I24" i="26"/>
  <c r="K23" i="26"/>
  <c r="J23" i="26"/>
  <c r="I23" i="26"/>
  <c r="K22" i="26"/>
  <c r="J22" i="26"/>
  <c r="I22" i="26"/>
  <c r="K21" i="26"/>
  <c r="I21" i="26"/>
  <c r="G21" i="26"/>
  <c r="D49" i="27" s="1"/>
  <c r="D21" i="26"/>
  <c r="C49" i="27" s="1"/>
  <c r="K20" i="26"/>
  <c r="J20" i="26"/>
  <c r="I20" i="26"/>
  <c r="K19" i="26"/>
  <c r="J19" i="26"/>
  <c r="I19" i="26"/>
  <c r="K18" i="26"/>
  <c r="J18" i="26"/>
  <c r="I18" i="26"/>
  <c r="K17" i="26"/>
  <c r="I17" i="26"/>
  <c r="G17" i="26"/>
  <c r="D48" i="27" s="1"/>
  <c r="D17" i="26"/>
  <c r="J17" i="26" s="1"/>
  <c r="K16" i="26"/>
  <c r="I16" i="26"/>
  <c r="D16" i="26"/>
  <c r="C44" i="27" s="1"/>
  <c r="K14" i="26"/>
  <c r="J14" i="26"/>
  <c r="I14" i="26"/>
  <c r="K13" i="26"/>
  <c r="J13" i="26"/>
  <c r="I13" i="26"/>
  <c r="J12" i="26"/>
  <c r="I12" i="26"/>
  <c r="K11" i="26"/>
  <c r="J11" i="26"/>
  <c r="I11" i="26"/>
  <c r="K10" i="26"/>
  <c r="J10" i="26"/>
  <c r="I10" i="26"/>
  <c r="K9" i="26"/>
  <c r="J9" i="26"/>
  <c r="I9" i="26"/>
  <c r="K7" i="26"/>
  <c r="J7" i="26"/>
  <c r="I7" i="26"/>
  <c r="K6" i="26"/>
  <c r="I6" i="26"/>
  <c r="G6" i="26"/>
  <c r="D43" i="27" s="1"/>
  <c r="D6" i="26"/>
  <c r="K5" i="26"/>
  <c r="J5" i="26"/>
  <c r="I5" i="26"/>
  <c r="K4" i="26"/>
  <c r="J4" i="26"/>
  <c r="I4" i="26"/>
  <c r="K3" i="26"/>
  <c r="I3" i="26"/>
  <c r="G3" i="26"/>
  <c r="H12" i="26" s="1"/>
  <c r="K242" i="23"/>
  <c r="J242" i="23"/>
  <c r="I242" i="23"/>
  <c r="G134" i="23"/>
  <c r="K124" i="23"/>
  <c r="J124" i="23"/>
  <c r="I124" i="23"/>
  <c r="G97" i="26" l="1"/>
  <c r="D63" i="27" s="1"/>
  <c r="C174" i="28" s="1"/>
  <c r="C176" i="28" s="1"/>
  <c r="D150" i="28"/>
  <c r="E171" i="28"/>
  <c r="F236" i="28"/>
  <c r="C39" i="28"/>
  <c r="E141" i="26"/>
  <c r="J112" i="26"/>
  <c r="C75" i="27"/>
  <c r="J28" i="26"/>
  <c r="J126" i="26"/>
  <c r="C9" i="27"/>
  <c r="D11" i="27"/>
  <c r="D16" i="27"/>
  <c r="C48" i="27"/>
  <c r="C52" i="27" s="1"/>
  <c r="D50" i="27"/>
  <c r="J6" i="26"/>
  <c r="H97" i="26"/>
  <c r="E112" i="26"/>
  <c r="J101" i="26"/>
  <c r="J106" i="26"/>
  <c r="J120" i="26"/>
  <c r="J252" i="26"/>
  <c r="J257" i="26"/>
  <c r="C17" i="27"/>
  <c r="C26" i="27"/>
  <c r="C27" i="27" s="1"/>
  <c r="C68" i="27"/>
  <c r="C69" i="27" s="1"/>
  <c r="D62" i="27"/>
  <c r="D67" i="27"/>
  <c r="D69" i="27" s="1"/>
  <c r="D74" i="27"/>
  <c r="D75" i="27" s="1"/>
  <c r="C43" i="27"/>
  <c r="C45" i="27" s="1"/>
  <c r="D52" i="27"/>
  <c r="D27" i="27"/>
  <c r="D20" i="27"/>
  <c r="D13" i="27"/>
  <c r="C13" i="27"/>
  <c r="I258" i="26"/>
  <c r="I249" i="26"/>
  <c r="I185" i="26"/>
  <c r="J133" i="26"/>
  <c r="J138" i="26"/>
  <c r="H112" i="26"/>
  <c r="J85" i="26"/>
  <c r="J44" i="26"/>
  <c r="H44" i="26"/>
  <c r="H45" i="26" s="1"/>
  <c r="J21" i="26"/>
  <c r="J3" i="26"/>
  <c r="E12" i="26"/>
  <c r="G16" i="26"/>
  <c r="E44" i="26"/>
  <c r="F45" i="26"/>
  <c r="I45" i="26" s="1"/>
  <c r="J100" i="26"/>
  <c r="H141" i="26"/>
  <c r="D159" i="26"/>
  <c r="C16" i="27" s="1"/>
  <c r="D185" i="26"/>
  <c r="D249" i="26"/>
  <c r="K23" i="23"/>
  <c r="J23" i="23"/>
  <c r="I23" i="23"/>
  <c r="D64" i="27" l="1"/>
  <c r="D77" i="27" s="1"/>
  <c r="K141" i="26"/>
  <c r="K112" i="26"/>
  <c r="J16" i="26"/>
  <c r="D44" i="27"/>
  <c r="D45" i="27" s="1"/>
  <c r="D54" i="27" s="1"/>
  <c r="J249" i="26"/>
  <c r="C19" i="27"/>
  <c r="J185" i="26"/>
  <c r="C18" i="27"/>
  <c r="C20" i="27" s="1"/>
  <c r="C22" i="27" s="1"/>
  <c r="C29" i="27" s="1"/>
  <c r="C54" i="27"/>
  <c r="D22" i="27"/>
  <c r="D29" i="27" s="1"/>
  <c r="D32" i="27" s="1"/>
  <c r="D33" i="27" s="1"/>
  <c r="H113" i="26"/>
  <c r="K44" i="26"/>
  <c r="E45" i="26"/>
  <c r="K45" i="26" s="1"/>
  <c r="K12" i="26"/>
  <c r="E257" i="26"/>
  <c r="K257" i="26" s="1"/>
  <c r="J159" i="26"/>
  <c r="F211" i="25"/>
  <c r="E154" i="25"/>
  <c r="C154" i="25"/>
  <c r="D131" i="25"/>
  <c r="B110" i="25"/>
  <c r="B118" i="25" s="1"/>
  <c r="B125" i="25" s="1"/>
  <c r="B132" i="25" s="1"/>
  <c r="B139" i="25" s="1"/>
  <c r="D95" i="25"/>
  <c r="D93" i="25"/>
  <c r="D123" i="25"/>
  <c r="D116" i="25"/>
  <c r="D108" i="25"/>
  <c r="D101" i="25"/>
  <c r="C38" i="25"/>
  <c r="D60" i="24"/>
  <c r="D40" i="24"/>
  <c r="C40" i="24"/>
  <c r="D128" i="20"/>
  <c r="D134" i="23"/>
  <c r="K227" i="23"/>
  <c r="J227" i="23"/>
  <c r="I227" i="23"/>
  <c r="K184" i="23"/>
  <c r="K185" i="23"/>
  <c r="K186" i="23"/>
  <c r="J184" i="23"/>
  <c r="J185" i="23"/>
  <c r="I185" i="23"/>
  <c r="I184" i="23"/>
  <c r="K177" i="23"/>
  <c r="J177" i="23"/>
  <c r="I177" i="23"/>
  <c r="K112" i="23"/>
  <c r="J112" i="23"/>
  <c r="I112" i="23"/>
  <c r="K87" i="23"/>
  <c r="J87" i="23"/>
  <c r="I87" i="23"/>
  <c r="K65" i="23"/>
  <c r="J65" i="23"/>
  <c r="I65" i="23"/>
  <c r="K18" i="23"/>
  <c r="J18" i="23"/>
  <c r="I18" i="23"/>
  <c r="D14" i="23"/>
  <c r="D216" i="25"/>
  <c r="C216" i="25"/>
  <c r="F215" i="25"/>
  <c r="F214" i="25"/>
  <c r="F213" i="25"/>
  <c r="F212" i="25"/>
  <c r="F210" i="25"/>
  <c r="F209" i="25"/>
  <c r="F208" i="25"/>
  <c r="F207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F191" i="25"/>
  <c r="F190" i="25"/>
  <c r="F189" i="25"/>
  <c r="F188" i="25"/>
  <c r="F187" i="25"/>
  <c r="F186" i="25"/>
  <c r="F185" i="25"/>
  <c r="F184" i="25"/>
  <c r="F183" i="25"/>
  <c r="F182" i="25"/>
  <c r="F181" i="25"/>
  <c r="F180" i="25"/>
  <c r="F179" i="25"/>
  <c r="F178" i="25"/>
  <c r="F177" i="25"/>
  <c r="F176" i="25"/>
  <c r="F175" i="25"/>
  <c r="F174" i="25"/>
  <c r="F173" i="25"/>
  <c r="F172" i="25"/>
  <c r="F171" i="25"/>
  <c r="F170" i="25"/>
  <c r="F169" i="25"/>
  <c r="F168" i="25"/>
  <c r="F167" i="25"/>
  <c r="F166" i="25"/>
  <c r="D152" i="25"/>
  <c r="C152" i="25"/>
  <c r="E150" i="25"/>
  <c r="E149" i="25"/>
  <c r="D139" i="25"/>
  <c r="D132" i="25"/>
  <c r="D125" i="25"/>
  <c r="D118" i="25"/>
  <c r="D110" i="25"/>
  <c r="D103" i="25"/>
  <c r="D89" i="25"/>
  <c r="D79" i="25"/>
  <c r="D64" i="25"/>
  <c r="D38" i="25"/>
  <c r="D37" i="25"/>
  <c r="C37" i="25"/>
  <c r="D36" i="25"/>
  <c r="C36" i="25"/>
  <c r="D35" i="25"/>
  <c r="C35" i="25"/>
  <c r="C60" i="24"/>
  <c r="A57" i="24"/>
  <c r="K254" i="23"/>
  <c r="J254" i="23"/>
  <c r="F254" i="23"/>
  <c r="C254" i="23"/>
  <c r="I253" i="23"/>
  <c r="G253" i="23"/>
  <c r="D26" i="24" s="1"/>
  <c r="D253" i="23"/>
  <c r="C26" i="24" s="1"/>
  <c r="K252" i="23"/>
  <c r="J252" i="23"/>
  <c r="I252" i="23"/>
  <c r="K251" i="23"/>
  <c r="J251" i="23"/>
  <c r="I251" i="23"/>
  <c r="K250" i="23"/>
  <c r="J250" i="23"/>
  <c r="I250" i="23"/>
  <c r="K249" i="23"/>
  <c r="J249" i="23"/>
  <c r="I249" i="23"/>
  <c r="K248" i="23"/>
  <c r="I248" i="23"/>
  <c r="G248" i="23"/>
  <c r="D248" i="23"/>
  <c r="C25" i="24" s="1"/>
  <c r="C27" i="24" s="1"/>
  <c r="K247" i="23"/>
  <c r="J247" i="23"/>
  <c r="I247" i="23"/>
  <c r="K246" i="23"/>
  <c r="J246" i="23"/>
  <c r="K245" i="23"/>
  <c r="F245" i="23"/>
  <c r="G245" i="23" s="1"/>
  <c r="D19" i="24" s="1"/>
  <c r="C245" i="23"/>
  <c r="D245" i="23" s="1"/>
  <c r="K244" i="23"/>
  <c r="J244" i="23"/>
  <c r="I244" i="23"/>
  <c r="K243" i="23"/>
  <c r="J243" i="23"/>
  <c r="I243" i="23"/>
  <c r="K241" i="23"/>
  <c r="J241" i="23"/>
  <c r="I241" i="23"/>
  <c r="K240" i="23"/>
  <c r="J240" i="23"/>
  <c r="I240" i="23"/>
  <c r="K239" i="23"/>
  <c r="J239" i="23"/>
  <c r="I239" i="23"/>
  <c r="K238" i="23"/>
  <c r="J238" i="23"/>
  <c r="I238" i="23"/>
  <c r="K237" i="23"/>
  <c r="J237" i="23"/>
  <c r="I237" i="23"/>
  <c r="K236" i="23"/>
  <c r="J236" i="23"/>
  <c r="I236" i="23"/>
  <c r="K235" i="23"/>
  <c r="J235" i="23"/>
  <c r="I235" i="23"/>
  <c r="K234" i="23"/>
  <c r="J234" i="23"/>
  <c r="I234" i="23"/>
  <c r="K233" i="23"/>
  <c r="J233" i="23"/>
  <c r="I233" i="23"/>
  <c r="K232" i="23"/>
  <c r="J232" i="23"/>
  <c r="I232" i="23"/>
  <c r="K231" i="23"/>
  <c r="J231" i="23"/>
  <c r="I231" i="23"/>
  <c r="K230" i="23"/>
  <c r="J230" i="23"/>
  <c r="I230" i="23"/>
  <c r="K229" i="23"/>
  <c r="J229" i="23"/>
  <c r="I229" i="23"/>
  <c r="K228" i="23"/>
  <c r="J228" i="23"/>
  <c r="I228" i="23"/>
  <c r="K226" i="23"/>
  <c r="J226" i="23"/>
  <c r="I226" i="23"/>
  <c r="K225" i="23"/>
  <c r="J225" i="23"/>
  <c r="I225" i="23"/>
  <c r="K224" i="23"/>
  <c r="J224" i="23"/>
  <c r="I224" i="23"/>
  <c r="K223" i="23"/>
  <c r="J223" i="23"/>
  <c r="I223" i="23"/>
  <c r="K222" i="23"/>
  <c r="J222" i="23"/>
  <c r="I222" i="23"/>
  <c r="K221" i="23"/>
  <c r="J221" i="23"/>
  <c r="I221" i="23"/>
  <c r="K220" i="23"/>
  <c r="J220" i="23"/>
  <c r="I220" i="23"/>
  <c r="K219" i="23"/>
  <c r="J219" i="23"/>
  <c r="I219" i="23"/>
  <c r="J218" i="23"/>
  <c r="I218" i="23"/>
  <c r="K217" i="23"/>
  <c r="J217" i="23"/>
  <c r="I217" i="23"/>
  <c r="K216" i="23"/>
  <c r="J216" i="23"/>
  <c r="I216" i="23"/>
  <c r="K215" i="23"/>
  <c r="J215" i="23"/>
  <c r="I215" i="23"/>
  <c r="K214" i="23"/>
  <c r="J214" i="23"/>
  <c r="I214" i="23"/>
  <c r="K213" i="23"/>
  <c r="J213" i="23"/>
  <c r="I213" i="23"/>
  <c r="K212" i="23"/>
  <c r="J212" i="23"/>
  <c r="I212" i="23"/>
  <c r="K211" i="23"/>
  <c r="J211" i="23"/>
  <c r="I211" i="23"/>
  <c r="K210" i="23"/>
  <c r="J210" i="23"/>
  <c r="I210" i="23"/>
  <c r="K209" i="23"/>
  <c r="J209" i="23"/>
  <c r="I209" i="23"/>
  <c r="K208" i="23"/>
  <c r="J208" i="23"/>
  <c r="I208" i="23"/>
  <c r="K207" i="23"/>
  <c r="J207" i="23"/>
  <c r="I207" i="23"/>
  <c r="K206" i="23"/>
  <c r="J206" i="23"/>
  <c r="I206" i="23"/>
  <c r="K205" i="23"/>
  <c r="J205" i="23"/>
  <c r="I205" i="23"/>
  <c r="K204" i="23"/>
  <c r="J204" i="23"/>
  <c r="I204" i="23"/>
  <c r="K203" i="23"/>
  <c r="J203" i="23"/>
  <c r="I203" i="23"/>
  <c r="K202" i="23"/>
  <c r="J202" i="23"/>
  <c r="I202" i="23"/>
  <c r="K201" i="23"/>
  <c r="J201" i="23"/>
  <c r="I201" i="23"/>
  <c r="K200" i="23"/>
  <c r="J200" i="23"/>
  <c r="I200" i="23"/>
  <c r="K199" i="23"/>
  <c r="J199" i="23"/>
  <c r="I199" i="23"/>
  <c r="K198" i="23"/>
  <c r="J198" i="23"/>
  <c r="I198" i="23"/>
  <c r="K197" i="23"/>
  <c r="J197" i="23"/>
  <c r="I197" i="23"/>
  <c r="K196" i="23"/>
  <c r="J196" i="23"/>
  <c r="I196" i="23"/>
  <c r="K195" i="23"/>
  <c r="J195" i="23"/>
  <c r="I195" i="23"/>
  <c r="K194" i="23"/>
  <c r="J194" i="23"/>
  <c r="I194" i="23"/>
  <c r="K193" i="23"/>
  <c r="J193" i="23"/>
  <c r="I193" i="23"/>
  <c r="K192" i="23"/>
  <c r="J192" i="23"/>
  <c r="I192" i="23"/>
  <c r="K191" i="23"/>
  <c r="J191" i="23"/>
  <c r="I191" i="23"/>
  <c r="K190" i="23"/>
  <c r="J190" i="23"/>
  <c r="I190" i="23"/>
  <c r="K189" i="23"/>
  <c r="J189" i="23"/>
  <c r="I189" i="23"/>
  <c r="K188" i="23"/>
  <c r="J188" i="23"/>
  <c r="I188" i="23"/>
  <c r="K187" i="23"/>
  <c r="J187" i="23"/>
  <c r="I187" i="23"/>
  <c r="I186" i="23"/>
  <c r="G186" i="23"/>
  <c r="D17" i="24" s="1"/>
  <c r="D186" i="23"/>
  <c r="C17" i="24" s="1"/>
  <c r="K183" i="23"/>
  <c r="J183" i="23"/>
  <c r="I183" i="23"/>
  <c r="K182" i="23"/>
  <c r="J182" i="23"/>
  <c r="K181" i="23"/>
  <c r="F181" i="23"/>
  <c r="G181" i="23" s="1"/>
  <c r="D18" i="24" s="1"/>
  <c r="C181" i="23"/>
  <c r="D181" i="23" s="1"/>
  <c r="K180" i="23"/>
  <c r="J180" i="23"/>
  <c r="I180" i="23"/>
  <c r="K179" i="23"/>
  <c r="J179" i="23"/>
  <c r="I179" i="23"/>
  <c r="K178" i="23"/>
  <c r="J178" i="23"/>
  <c r="I178" i="23"/>
  <c r="K176" i="23"/>
  <c r="J176" i="23"/>
  <c r="I176" i="23"/>
  <c r="K175" i="23"/>
  <c r="J175" i="23"/>
  <c r="I175" i="23"/>
  <c r="K174" i="23"/>
  <c r="J174" i="23"/>
  <c r="I174" i="23"/>
  <c r="K173" i="23"/>
  <c r="J173" i="23"/>
  <c r="I173" i="23"/>
  <c r="K172" i="23"/>
  <c r="J172" i="23"/>
  <c r="I172" i="23"/>
  <c r="K171" i="23"/>
  <c r="J171" i="23"/>
  <c r="I171" i="23"/>
  <c r="K170" i="23"/>
  <c r="J170" i="23"/>
  <c r="I170" i="23"/>
  <c r="K169" i="23"/>
  <c r="J169" i="23"/>
  <c r="I169" i="23"/>
  <c r="K168" i="23"/>
  <c r="J168" i="23"/>
  <c r="I168" i="23"/>
  <c r="K167" i="23"/>
  <c r="J167" i="23"/>
  <c r="I167" i="23"/>
  <c r="K166" i="23"/>
  <c r="J166" i="23"/>
  <c r="I166" i="23"/>
  <c r="K165" i="23"/>
  <c r="I165" i="23"/>
  <c r="K164" i="23"/>
  <c r="J164" i="23"/>
  <c r="I164" i="23"/>
  <c r="K163" i="23"/>
  <c r="J163" i="23"/>
  <c r="I163" i="23"/>
  <c r="K162" i="23"/>
  <c r="J162" i="23"/>
  <c r="I162" i="23"/>
  <c r="K161" i="23"/>
  <c r="J161" i="23"/>
  <c r="I161" i="23"/>
  <c r="K160" i="23"/>
  <c r="J160" i="23"/>
  <c r="I160" i="23"/>
  <c r="K159" i="23"/>
  <c r="J159" i="23"/>
  <c r="I159" i="23"/>
  <c r="K158" i="23"/>
  <c r="J158" i="23"/>
  <c r="I158" i="23"/>
  <c r="K157" i="23"/>
  <c r="J157" i="23"/>
  <c r="I157" i="23"/>
  <c r="K156" i="23"/>
  <c r="J156" i="23"/>
  <c r="K155" i="23"/>
  <c r="F155" i="23"/>
  <c r="G155" i="23" s="1"/>
  <c r="C155" i="23"/>
  <c r="K154" i="23"/>
  <c r="J154" i="23"/>
  <c r="I154" i="23"/>
  <c r="K153" i="23"/>
  <c r="J153" i="23"/>
  <c r="I153" i="23"/>
  <c r="K152" i="23"/>
  <c r="J152" i="23"/>
  <c r="I152" i="23"/>
  <c r="K151" i="23"/>
  <c r="J151" i="23"/>
  <c r="I151" i="23"/>
  <c r="K150" i="23"/>
  <c r="J150" i="23"/>
  <c r="I150" i="23"/>
  <c r="K149" i="23"/>
  <c r="J149" i="23"/>
  <c r="I149" i="23"/>
  <c r="K148" i="23"/>
  <c r="J148" i="23"/>
  <c r="I148" i="23"/>
  <c r="K147" i="23"/>
  <c r="J147" i="23"/>
  <c r="I147" i="23"/>
  <c r="K146" i="23"/>
  <c r="J146" i="23"/>
  <c r="I146" i="23"/>
  <c r="K145" i="23"/>
  <c r="J145" i="23"/>
  <c r="I145" i="23"/>
  <c r="K144" i="23"/>
  <c r="J144" i="23"/>
  <c r="I144" i="23"/>
  <c r="K143" i="23"/>
  <c r="J143" i="23"/>
  <c r="I143" i="23"/>
  <c r="K142" i="23"/>
  <c r="J142" i="23"/>
  <c r="I142" i="23"/>
  <c r="K141" i="23"/>
  <c r="J141" i="23"/>
  <c r="I141" i="23"/>
  <c r="K140" i="23"/>
  <c r="J140" i="23"/>
  <c r="I140" i="23"/>
  <c r="K139" i="23"/>
  <c r="J139" i="23"/>
  <c r="I139" i="23"/>
  <c r="K138" i="23"/>
  <c r="F137" i="23"/>
  <c r="C137" i="23"/>
  <c r="K136" i="23"/>
  <c r="I135" i="23"/>
  <c r="K134" i="23"/>
  <c r="I134" i="23"/>
  <c r="D12" i="24"/>
  <c r="C12" i="24"/>
  <c r="K133" i="23"/>
  <c r="J133" i="23"/>
  <c r="I133" i="23"/>
  <c r="K132" i="23"/>
  <c r="J132" i="23"/>
  <c r="I132" i="23"/>
  <c r="K131" i="23"/>
  <c r="J131" i="23"/>
  <c r="I131" i="23"/>
  <c r="K130" i="23"/>
  <c r="J130" i="23"/>
  <c r="I130" i="23"/>
  <c r="K129" i="23"/>
  <c r="I129" i="23"/>
  <c r="G129" i="23"/>
  <c r="D10" i="24" s="1"/>
  <c r="D129" i="23"/>
  <c r="C10" i="24" s="1"/>
  <c r="K128" i="23"/>
  <c r="J128" i="23"/>
  <c r="I128" i="23"/>
  <c r="K127" i="23"/>
  <c r="J127" i="23"/>
  <c r="I127" i="23"/>
  <c r="K126" i="23"/>
  <c r="J126" i="23"/>
  <c r="I126" i="23"/>
  <c r="K125" i="23"/>
  <c r="J125" i="23"/>
  <c r="I125" i="23"/>
  <c r="K123" i="23"/>
  <c r="J123" i="23"/>
  <c r="I123" i="23"/>
  <c r="K122" i="23"/>
  <c r="I122" i="23"/>
  <c r="G122" i="23"/>
  <c r="D11" i="24" s="1"/>
  <c r="D122" i="23"/>
  <c r="C11" i="24" s="1"/>
  <c r="K121" i="23"/>
  <c r="J121" i="23"/>
  <c r="I121" i="23"/>
  <c r="K120" i="23"/>
  <c r="J120" i="23"/>
  <c r="I120" i="23"/>
  <c r="K119" i="23"/>
  <c r="J119" i="23"/>
  <c r="I119" i="23"/>
  <c r="K118" i="23"/>
  <c r="J118" i="23"/>
  <c r="I118" i="23"/>
  <c r="K117" i="23"/>
  <c r="J117" i="23"/>
  <c r="I117" i="23"/>
  <c r="K116" i="23"/>
  <c r="I116" i="23"/>
  <c r="G116" i="23"/>
  <c r="D9" i="24" s="1"/>
  <c r="D116" i="23"/>
  <c r="C9" i="24" s="1"/>
  <c r="K115" i="23"/>
  <c r="J115" i="23"/>
  <c r="I115" i="23"/>
  <c r="K114" i="23"/>
  <c r="J114" i="23"/>
  <c r="I114" i="23"/>
  <c r="K113" i="23"/>
  <c r="J113" i="23"/>
  <c r="I113" i="23"/>
  <c r="K111" i="23"/>
  <c r="J111" i="23"/>
  <c r="I111" i="23"/>
  <c r="K110" i="23"/>
  <c r="J110" i="23"/>
  <c r="J109" i="23"/>
  <c r="I108" i="23"/>
  <c r="G108" i="23"/>
  <c r="D74" i="24" s="1"/>
  <c r="D108" i="23"/>
  <c r="C74" i="24" s="1"/>
  <c r="K107" i="23"/>
  <c r="J107" i="23"/>
  <c r="I107" i="23"/>
  <c r="K106" i="23"/>
  <c r="J106" i="23"/>
  <c r="I106" i="23"/>
  <c r="K105" i="23"/>
  <c r="J105" i="23"/>
  <c r="I105" i="23"/>
  <c r="K104" i="23"/>
  <c r="J104" i="23"/>
  <c r="I104" i="23"/>
  <c r="K103" i="23"/>
  <c r="J103" i="23"/>
  <c r="I103" i="23"/>
  <c r="K102" i="23"/>
  <c r="I102" i="23"/>
  <c r="G102" i="23"/>
  <c r="D73" i="24" s="1"/>
  <c r="D102" i="23"/>
  <c r="C73" i="24" s="1"/>
  <c r="K101" i="23"/>
  <c r="J101" i="23"/>
  <c r="I101" i="23"/>
  <c r="K100" i="23"/>
  <c r="I100" i="23"/>
  <c r="G100" i="23"/>
  <c r="D67" i="24" s="1"/>
  <c r="D100" i="23"/>
  <c r="C67" i="24" s="1"/>
  <c r="K99" i="23"/>
  <c r="J99" i="23"/>
  <c r="I99" i="23"/>
  <c r="K98" i="23"/>
  <c r="J98" i="23"/>
  <c r="I98" i="23"/>
  <c r="K97" i="23"/>
  <c r="I97" i="23"/>
  <c r="G97" i="23"/>
  <c r="D72" i="24" s="1"/>
  <c r="D97" i="23"/>
  <c r="C72" i="24" s="1"/>
  <c r="K96" i="23"/>
  <c r="I96" i="23"/>
  <c r="G96" i="23"/>
  <c r="D68" i="24" s="1"/>
  <c r="D96" i="23"/>
  <c r="C68" i="24" s="1"/>
  <c r="K95" i="23"/>
  <c r="J95" i="23"/>
  <c r="I95" i="23"/>
  <c r="K94" i="23"/>
  <c r="J94" i="23"/>
  <c r="I94" i="23"/>
  <c r="K92" i="23"/>
  <c r="J92" i="23"/>
  <c r="I92" i="23"/>
  <c r="K91" i="23"/>
  <c r="J91" i="23"/>
  <c r="I91" i="23"/>
  <c r="K90" i="23"/>
  <c r="J90" i="23"/>
  <c r="I90" i="23"/>
  <c r="K89" i="23"/>
  <c r="J89" i="23"/>
  <c r="I89" i="23"/>
  <c r="K88" i="23"/>
  <c r="J88" i="23"/>
  <c r="I88" i="23"/>
  <c r="K86" i="23"/>
  <c r="J86" i="23"/>
  <c r="I86" i="23"/>
  <c r="K85" i="23"/>
  <c r="J85" i="23"/>
  <c r="I85" i="23"/>
  <c r="K84" i="23"/>
  <c r="J84" i="23"/>
  <c r="I84" i="23"/>
  <c r="K83" i="23"/>
  <c r="I83" i="23"/>
  <c r="G83" i="23"/>
  <c r="D83" i="23"/>
  <c r="C62" i="24" s="1"/>
  <c r="K82" i="23"/>
  <c r="J82" i="23"/>
  <c r="I82" i="23"/>
  <c r="K81" i="23"/>
  <c r="J81" i="23"/>
  <c r="I81" i="23"/>
  <c r="K80" i="23"/>
  <c r="J80" i="23"/>
  <c r="I80" i="23"/>
  <c r="K79" i="23"/>
  <c r="J79" i="23"/>
  <c r="I79" i="23"/>
  <c r="K78" i="23"/>
  <c r="J78" i="23"/>
  <c r="I78" i="23"/>
  <c r="K77" i="23"/>
  <c r="J77" i="23"/>
  <c r="I77" i="23"/>
  <c r="K76" i="23"/>
  <c r="J76" i="23"/>
  <c r="I76" i="23"/>
  <c r="K75" i="23"/>
  <c r="J75" i="23"/>
  <c r="I75" i="23"/>
  <c r="K74" i="23"/>
  <c r="J74" i="23"/>
  <c r="I74" i="23"/>
  <c r="K73" i="23"/>
  <c r="J73" i="23"/>
  <c r="I73" i="23"/>
  <c r="K72" i="23"/>
  <c r="J72" i="23"/>
  <c r="I72" i="23"/>
  <c r="K71" i="23"/>
  <c r="J71" i="23"/>
  <c r="I71" i="23"/>
  <c r="K70" i="23"/>
  <c r="J70" i="23"/>
  <c r="I70" i="23"/>
  <c r="K69" i="23"/>
  <c r="J69" i="23"/>
  <c r="I69" i="23"/>
  <c r="K68" i="23"/>
  <c r="J68" i="23"/>
  <c r="I68" i="23"/>
  <c r="K67" i="23"/>
  <c r="J67" i="23"/>
  <c r="I67" i="23"/>
  <c r="K66" i="23"/>
  <c r="J66" i="23"/>
  <c r="I66" i="23"/>
  <c r="K64" i="23"/>
  <c r="J64" i="23"/>
  <c r="I64" i="23"/>
  <c r="K63" i="23"/>
  <c r="J63" i="23"/>
  <c r="I63" i="23"/>
  <c r="K62" i="23"/>
  <c r="J62" i="23"/>
  <c r="I62" i="23"/>
  <c r="K61" i="23"/>
  <c r="J61" i="23"/>
  <c r="I61" i="23"/>
  <c r="K60" i="23"/>
  <c r="J60" i="23"/>
  <c r="I60" i="23"/>
  <c r="K59" i="23"/>
  <c r="J59" i="23"/>
  <c r="I59" i="23"/>
  <c r="K58" i="23"/>
  <c r="J58" i="23"/>
  <c r="I58" i="23"/>
  <c r="K57" i="23"/>
  <c r="J57" i="23"/>
  <c r="I57" i="23"/>
  <c r="K56" i="23"/>
  <c r="J56" i="23"/>
  <c r="I56" i="23"/>
  <c r="K55" i="23"/>
  <c r="J55" i="23"/>
  <c r="I55" i="23"/>
  <c r="K54" i="23"/>
  <c r="J54" i="23"/>
  <c r="I54" i="23"/>
  <c r="K53" i="23"/>
  <c r="J53" i="23"/>
  <c r="I53" i="23"/>
  <c r="K52" i="23"/>
  <c r="J52" i="23"/>
  <c r="I52" i="23"/>
  <c r="K51" i="23"/>
  <c r="J51" i="23"/>
  <c r="I51" i="23"/>
  <c r="K50" i="23"/>
  <c r="J50" i="23"/>
  <c r="I50" i="23"/>
  <c r="K49" i="23"/>
  <c r="J49" i="23"/>
  <c r="I49" i="23"/>
  <c r="K48" i="23"/>
  <c r="J48" i="23"/>
  <c r="I48" i="23"/>
  <c r="K47" i="23"/>
  <c r="J47" i="23"/>
  <c r="I47" i="23"/>
  <c r="K46" i="23"/>
  <c r="J46" i="23"/>
  <c r="I46" i="23"/>
  <c r="K45" i="23"/>
  <c r="J45" i="23"/>
  <c r="I45" i="23"/>
  <c r="K44" i="23"/>
  <c r="J43" i="23"/>
  <c r="C43" i="23"/>
  <c r="I42" i="23"/>
  <c r="G42" i="23"/>
  <c r="D51" i="24" s="1"/>
  <c r="D42" i="23"/>
  <c r="C51" i="24" s="1"/>
  <c r="K41" i="23"/>
  <c r="J41" i="23"/>
  <c r="I41" i="23"/>
  <c r="K40" i="23"/>
  <c r="J40" i="23"/>
  <c r="I40" i="23"/>
  <c r="K39" i="23"/>
  <c r="J39" i="23"/>
  <c r="I39" i="23"/>
  <c r="K38" i="23"/>
  <c r="J38" i="23"/>
  <c r="I38" i="23"/>
  <c r="K37" i="23"/>
  <c r="J37" i="23"/>
  <c r="I37" i="23"/>
  <c r="K36" i="23"/>
  <c r="J36" i="23"/>
  <c r="I36" i="23"/>
  <c r="K35" i="23"/>
  <c r="J35" i="23"/>
  <c r="I35" i="23"/>
  <c r="K34" i="23"/>
  <c r="J34" i="23"/>
  <c r="I34" i="23"/>
  <c r="K33" i="23"/>
  <c r="J33" i="23"/>
  <c r="I33" i="23"/>
  <c r="K32" i="23"/>
  <c r="J32" i="23"/>
  <c r="I32" i="23"/>
  <c r="K31" i="23"/>
  <c r="J31" i="23"/>
  <c r="I31" i="23"/>
  <c r="K30" i="23"/>
  <c r="J30" i="23"/>
  <c r="I30" i="23"/>
  <c r="K29" i="23"/>
  <c r="J29" i="23"/>
  <c r="I29" i="23"/>
  <c r="K28" i="23"/>
  <c r="J28" i="23"/>
  <c r="I28" i="23"/>
  <c r="K27" i="23"/>
  <c r="J27" i="23"/>
  <c r="I27" i="23"/>
  <c r="K26" i="23"/>
  <c r="I26" i="23"/>
  <c r="G26" i="23"/>
  <c r="D50" i="24" s="1"/>
  <c r="D26" i="23"/>
  <c r="C50" i="24" s="1"/>
  <c r="K25" i="23"/>
  <c r="J25" i="23"/>
  <c r="I25" i="23"/>
  <c r="K24" i="23"/>
  <c r="J24" i="23"/>
  <c r="I24" i="23"/>
  <c r="K22" i="23"/>
  <c r="J22" i="23"/>
  <c r="I22" i="23"/>
  <c r="K21" i="23"/>
  <c r="J21" i="23"/>
  <c r="I21" i="23"/>
  <c r="K20" i="23"/>
  <c r="J20" i="23"/>
  <c r="I20" i="23"/>
  <c r="K19" i="23"/>
  <c r="I19" i="23"/>
  <c r="G19" i="23"/>
  <c r="D49" i="24" s="1"/>
  <c r="D19" i="23"/>
  <c r="C49" i="24" s="1"/>
  <c r="K17" i="23"/>
  <c r="J17" i="23"/>
  <c r="I17" i="23"/>
  <c r="K16" i="23"/>
  <c r="J16" i="23"/>
  <c r="I16" i="23"/>
  <c r="K15" i="23"/>
  <c r="I15" i="23"/>
  <c r="G15" i="23"/>
  <c r="D48" i="24" s="1"/>
  <c r="D15" i="23"/>
  <c r="C48" i="24" s="1"/>
  <c r="K14" i="23"/>
  <c r="I14" i="23"/>
  <c r="C44" i="24"/>
  <c r="K13" i="23"/>
  <c r="J13" i="23"/>
  <c r="I13" i="23"/>
  <c r="K12" i="23"/>
  <c r="J12" i="23"/>
  <c r="I12" i="23"/>
  <c r="J11" i="23"/>
  <c r="I11" i="23"/>
  <c r="K10" i="23"/>
  <c r="J10" i="23"/>
  <c r="I10" i="23"/>
  <c r="K9" i="23"/>
  <c r="J9" i="23"/>
  <c r="I9" i="23"/>
  <c r="K8" i="23"/>
  <c r="J8" i="23"/>
  <c r="F8" i="23"/>
  <c r="F43" i="23" s="1"/>
  <c r="K7" i="23"/>
  <c r="J7" i="23"/>
  <c r="I7" i="23"/>
  <c r="K6" i="23"/>
  <c r="I6" i="23"/>
  <c r="G6" i="23"/>
  <c r="D6" i="23"/>
  <c r="C43" i="24" s="1"/>
  <c r="K5" i="23"/>
  <c r="J5" i="23"/>
  <c r="I5" i="23"/>
  <c r="K4" i="23"/>
  <c r="J4" i="23"/>
  <c r="I4" i="23"/>
  <c r="K3" i="23"/>
  <c r="I3" i="23"/>
  <c r="G3" i="23"/>
  <c r="H11" i="23" s="1"/>
  <c r="C32" i="27" l="1"/>
  <c r="C97" i="26"/>
  <c r="F216" i="25"/>
  <c r="J186" i="23"/>
  <c r="I8" i="23"/>
  <c r="D13" i="24"/>
  <c r="D96" i="25"/>
  <c r="E152" i="25"/>
  <c r="D39" i="25"/>
  <c r="C39" i="25"/>
  <c r="J6" i="23"/>
  <c r="J248" i="23"/>
  <c r="C75" i="24"/>
  <c r="I254" i="23"/>
  <c r="I155" i="23"/>
  <c r="J108" i="23"/>
  <c r="D52" i="24"/>
  <c r="I43" i="23"/>
  <c r="C69" i="24"/>
  <c r="C19" i="24"/>
  <c r="J245" i="23"/>
  <c r="C45" i="24"/>
  <c r="C52" i="24"/>
  <c r="D75" i="24"/>
  <c r="D69" i="24"/>
  <c r="C13" i="24"/>
  <c r="D16" i="24"/>
  <c r="D20" i="24" s="1"/>
  <c r="D22" i="24" s="1"/>
  <c r="H253" i="23"/>
  <c r="C18" i="24"/>
  <c r="J181" i="23"/>
  <c r="J3" i="23"/>
  <c r="E11" i="23"/>
  <c r="G14" i="23"/>
  <c r="D44" i="24" s="1"/>
  <c r="J19" i="23"/>
  <c r="J26" i="23"/>
  <c r="E42" i="23"/>
  <c r="H42" i="23"/>
  <c r="H43" i="23" s="1"/>
  <c r="J42" i="23"/>
  <c r="J83" i="23"/>
  <c r="J96" i="23"/>
  <c r="J100" i="23"/>
  <c r="J102" i="23"/>
  <c r="E108" i="23"/>
  <c r="H108" i="23"/>
  <c r="J116" i="23"/>
  <c r="J122" i="23"/>
  <c r="J129" i="23"/>
  <c r="E137" i="23"/>
  <c r="H137" i="23"/>
  <c r="D155" i="23"/>
  <c r="I181" i="23"/>
  <c r="I245" i="23"/>
  <c r="J253" i="23"/>
  <c r="D25" i="24"/>
  <c r="D27" i="24" s="1"/>
  <c r="D43" i="24"/>
  <c r="D62" i="24"/>
  <c r="E216" i="25"/>
  <c r="J15" i="23"/>
  <c r="J97" i="23"/>
  <c r="J134" i="23"/>
  <c r="E206" i="21"/>
  <c r="E207" i="21"/>
  <c r="I97" i="26" l="1"/>
  <c r="D97" i="26"/>
  <c r="C63" i="27" s="1"/>
  <c r="C64" i="27" s="1"/>
  <c r="C77" i="27" s="1"/>
  <c r="C113" i="26"/>
  <c r="I113" i="26" s="1"/>
  <c r="C33" i="27"/>
  <c r="D174" i="28"/>
  <c r="D29" i="24"/>
  <c r="D32" i="24" s="1"/>
  <c r="D33" i="24" s="1"/>
  <c r="K137" i="23"/>
  <c r="D45" i="24"/>
  <c r="D54" i="24" s="1"/>
  <c r="J14" i="23"/>
  <c r="F93" i="23"/>
  <c r="G93" i="23" s="1"/>
  <c r="C16" i="24"/>
  <c r="C20" i="24" s="1"/>
  <c r="C22" i="24" s="1"/>
  <c r="C29" i="24" s="1"/>
  <c r="E253" i="23"/>
  <c r="K253" i="23" s="1"/>
  <c r="J155" i="23"/>
  <c r="E43" i="23"/>
  <c r="K43" i="23" s="1"/>
  <c r="K11" i="23"/>
  <c r="K108" i="23"/>
  <c r="K42" i="23"/>
  <c r="C54" i="24"/>
  <c r="F202" i="21"/>
  <c r="F201" i="21"/>
  <c r="E177" i="21"/>
  <c r="F179" i="21"/>
  <c r="C148" i="21"/>
  <c r="D132" i="21"/>
  <c r="D88" i="21"/>
  <c r="D38" i="21"/>
  <c r="C38" i="21"/>
  <c r="D37" i="21"/>
  <c r="C37" i="21"/>
  <c r="D36" i="21"/>
  <c r="C36" i="21"/>
  <c r="D35" i="21"/>
  <c r="C35" i="21"/>
  <c r="D14" i="20"/>
  <c r="C44" i="22"/>
  <c r="K113" i="20"/>
  <c r="K112" i="20"/>
  <c r="J113" i="20"/>
  <c r="K13" i="20"/>
  <c r="K12" i="20"/>
  <c r="J13" i="20"/>
  <c r="J12" i="20"/>
  <c r="K7" i="20"/>
  <c r="J7" i="20"/>
  <c r="K185" i="20"/>
  <c r="K184" i="20"/>
  <c r="J185" i="20"/>
  <c r="K212" i="20"/>
  <c r="J212" i="20"/>
  <c r="K241" i="20"/>
  <c r="J241" i="20"/>
  <c r="I241" i="20"/>
  <c r="K239" i="20"/>
  <c r="J239" i="20"/>
  <c r="I239" i="20"/>
  <c r="K238" i="20"/>
  <c r="J238" i="20"/>
  <c r="I238" i="20"/>
  <c r="K157" i="20"/>
  <c r="K156" i="20"/>
  <c r="J157" i="20"/>
  <c r="K155" i="20"/>
  <c r="K154" i="20"/>
  <c r="K137" i="20"/>
  <c r="J137" i="20"/>
  <c r="J155" i="20"/>
  <c r="K162" i="20"/>
  <c r="J162" i="20"/>
  <c r="I162" i="20"/>
  <c r="K81" i="20"/>
  <c r="J81" i="20"/>
  <c r="I81" i="20"/>
  <c r="K72" i="20"/>
  <c r="J72" i="20"/>
  <c r="I72" i="20"/>
  <c r="I13" i="20"/>
  <c r="I7" i="20"/>
  <c r="E97" i="26" l="1"/>
  <c r="J97" i="26"/>
  <c r="D176" i="28"/>
  <c r="E174" i="28"/>
  <c r="E176" i="28" s="1"/>
  <c r="E113" i="26"/>
  <c r="K113" i="26" s="1"/>
  <c r="K97" i="26"/>
  <c r="C32" i="24"/>
  <c r="C93" i="23"/>
  <c r="D93" i="23" s="1"/>
  <c r="F109" i="23"/>
  <c r="G237" i="20"/>
  <c r="D25" i="22" s="1"/>
  <c r="G128" i="20"/>
  <c r="D12" i="22" s="1"/>
  <c r="C33" i="24" l="1"/>
  <c r="D157" i="25"/>
  <c r="D63" i="24"/>
  <c r="H93" i="23"/>
  <c r="H109" i="23" s="1"/>
  <c r="C109" i="23"/>
  <c r="I109" i="23" s="1"/>
  <c r="I93" i="23"/>
  <c r="C60" i="22"/>
  <c r="A57" i="22"/>
  <c r="D208" i="21"/>
  <c r="C208" i="21"/>
  <c r="F207" i="21"/>
  <c r="F206" i="21"/>
  <c r="F205" i="21"/>
  <c r="F204" i="21"/>
  <c r="F203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E148" i="21"/>
  <c r="D145" i="21"/>
  <c r="D150" i="21" s="1"/>
  <c r="C145" i="21"/>
  <c r="C150" i="21" s="1"/>
  <c r="E143" i="21"/>
  <c r="E142" i="21"/>
  <c r="D125" i="21"/>
  <c r="D118" i="21"/>
  <c r="D111" i="21"/>
  <c r="D103" i="21"/>
  <c r="D96" i="21"/>
  <c r="D78" i="21"/>
  <c r="D64" i="21"/>
  <c r="D39" i="21"/>
  <c r="C39" i="21"/>
  <c r="K243" i="20"/>
  <c r="J243" i="20"/>
  <c r="F243" i="20"/>
  <c r="C243" i="20"/>
  <c r="I243" i="20" s="1"/>
  <c r="I242" i="20"/>
  <c r="G242" i="20"/>
  <c r="D26" i="22" s="1"/>
  <c r="D27" i="22" s="1"/>
  <c r="D242" i="20"/>
  <c r="C26" i="22" s="1"/>
  <c r="K240" i="20"/>
  <c r="J240" i="20"/>
  <c r="I240" i="20"/>
  <c r="K237" i="20"/>
  <c r="I237" i="20"/>
  <c r="D237" i="20"/>
  <c r="C25" i="22" s="1"/>
  <c r="C27" i="22" s="1"/>
  <c r="K236" i="20"/>
  <c r="J236" i="20"/>
  <c r="I236" i="20"/>
  <c r="K235" i="20"/>
  <c r="J235" i="20"/>
  <c r="K234" i="20"/>
  <c r="F234" i="20"/>
  <c r="G234" i="20" s="1"/>
  <c r="D19" i="22" s="1"/>
  <c r="C234" i="20"/>
  <c r="D234" i="20" s="1"/>
  <c r="C19" i="22" s="1"/>
  <c r="K233" i="20"/>
  <c r="J233" i="20"/>
  <c r="I233" i="20"/>
  <c r="K232" i="20"/>
  <c r="J232" i="20"/>
  <c r="I232" i="20"/>
  <c r="K231" i="20"/>
  <c r="J231" i="20"/>
  <c r="I231" i="20"/>
  <c r="K230" i="20"/>
  <c r="J230" i="20"/>
  <c r="I230" i="20"/>
  <c r="K229" i="20"/>
  <c r="J229" i="20"/>
  <c r="I229" i="20"/>
  <c r="K228" i="20"/>
  <c r="J228" i="20"/>
  <c r="I228" i="20"/>
  <c r="K227" i="20"/>
  <c r="J227" i="20"/>
  <c r="I227" i="20"/>
  <c r="K226" i="20"/>
  <c r="J226" i="20"/>
  <c r="I226" i="20"/>
  <c r="K225" i="20"/>
  <c r="J225" i="20"/>
  <c r="I225" i="20"/>
  <c r="K224" i="20"/>
  <c r="J224" i="20"/>
  <c r="I224" i="20"/>
  <c r="K223" i="20"/>
  <c r="J223" i="20"/>
  <c r="I223" i="20"/>
  <c r="K222" i="20"/>
  <c r="J222" i="20"/>
  <c r="I222" i="20"/>
  <c r="K221" i="20"/>
  <c r="J221" i="20"/>
  <c r="I221" i="20"/>
  <c r="K220" i="20"/>
  <c r="J220" i="20"/>
  <c r="I220" i="20"/>
  <c r="K219" i="20"/>
  <c r="J219" i="20"/>
  <c r="I219" i="20"/>
  <c r="K218" i="20"/>
  <c r="J218" i="20"/>
  <c r="I218" i="20"/>
  <c r="K217" i="20"/>
  <c r="J217" i="20"/>
  <c r="I217" i="20"/>
  <c r="K216" i="20"/>
  <c r="J216" i="20"/>
  <c r="I216" i="20"/>
  <c r="K215" i="20"/>
  <c r="J215" i="20"/>
  <c r="I215" i="20"/>
  <c r="K214" i="20"/>
  <c r="J214" i="20"/>
  <c r="I214" i="20"/>
  <c r="K213" i="20"/>
  <c r="J213" i="20"/>
  <c r="I213" i="20"/>
  <c r="I212" i="20"/>
  <c r="K211" i="20"/>
  <c r="J211" i="20"/>
  <c r="I211" i="20"/>
  <c r="K210" i="20"/>
  <c r="J210" i="20"/>
  <c r="I210" i="20"/>
  <c r="J209" i="20"/>
  <c r="I209" i="20"/>
  <c r="K208" i="20"/>
  <c r="J208" i="20"/>
  <c r="I208" i="20"/>
  <c r="K207" i="20"/>
  <c r="J207" i="20"/>
  <c r="I207" i="20"/>
  <c r="K206" i="20"/>
  <c r="J206" i="20"/>
  <c r="I206" i="20"/>
  <c r="K205" i="20"/>
  <c r="J205" i="20"/>
  <c r="I205" i="20"/>
  <c r="K204" i="20"/>
  <c r="J204" i="20"/>
  <c r="I204" i="20"/>
  <c r="K203" i="20"/>
  <c r="J203" i="20"/>
  <c r="I203" i="20"/>
  <c r="K202" i="20"/>
  <c r="J202" i="20"/>
  <c r="I202" i="20"/>
  <c r="K201" i="20"/>
  <c r="J201" i="20"/>
  <c r="I201" i="20"/>
  <c r="K200" i="20"/>
  <c r="J200" i="20"/>
  <c r="I200" i="20"/>
  <c r="K199" i="20"/>
  <c r="J199" i="20"/>
  <c r="I199" i="20"/>
  <c r="K198" i="20"/>
  <c r="J198" i="20"/>
  <c r="I198" i="20"/>
  <c r="K197" i="20"/>
  <c r="J197" i="20"/>
  <c r="I197" i="20"/>
  <c r="K196" i="20"/>
  <c r="J196" i="20"/>
  <c r="I196" i="20"/>
  <c r="K195" i="20"/>
  <c r="J195" i="20"/>
  <c r="I195" i="20"/>
  <c r="K194" i="20"/>
  <c r="J194" i="20"/>
  <c r="I194" i="20"/>
  <c r="K193" i="20"/>
  <c r="J193" i="20"/>
  <c r="I193" i="20"/>
  <c r="K192" i="20"/>
  <c r="J192" i="20"/>
  <c r="I192" i="20"/>
  <c r="K191" i="20"/>
  <c r="J191" i="20"/>
  <c r="I191" i="20"/>
  <c r="K190" i="20"/>
  <c r="J190" i="20"/>
  <c r="I190" i="20"/>
  <c r="K189" i="20"/>
  <c r="J189" i="20"/>
  <c r="I189" i="20"/>
  <c r="K188" i="20"/>
  <c r="J188" i="20"/>
  <c r="I188" i="20"/>
  <c r="K187" i="20"/>
  <c r="J187" i="20"/>
  <c r="I187" i="20"/>
  <c r="K186" i="20"/>
  <c r="J186" i="20"/>
  <c r="I186" i="20"/>
  <c r="I185" i="20"/>
  <c r="J184" i="20"/>
  <c r="I184" i="20"/>
  <c r="K183" i="20"/>
  <c r="J183" i="20"/>
  <c r="I183" i="20"/>
  <c r="K182" i="20"/>
  <c r="J182" i="20"/>
  <c r="I182" i="20"/>
  <c r="K181" i="20"/>
  <c r="J181" i="20"/>
  <c r="I181" i="20"/>
  <c r="K180" i="20"/>
  <c r="J180" i="20"/>
  <c r="I180" i="20"/>
  <c r="K179" i="20"/>
  <c r="J179" i="20"/>
  <c r="I179" i="20"/>
  <c r="K178" i="20"/>
  <c r="J178" i="20"/>
  <c r="I178" i="20"/>
  <c r="K177" i="20"/>
  <c r="I177" i="20"/>
  <c r="G177" i="20"/>
  <c r="D17" i="22" s="1"/>
  <c r="D177" i="20"/>
  <c r="C17" i="22" s="1"/>
  <c r="K176" i="20"/>
  <c r="J176" i="20"/>
  <c r="I176" i="20"/>
  <c r="K175" i="20"/>
  <c r="J175" i="20"/>
  <c r="K174" i="20"/>
  <c r="F174" i="20"/>
  <c r="G174" i="20" s="1"/>
  <c r="D18" i="22" s="1"/>
  <c r="C174" i="20"/>
  <c r="D174" i="20" s="1"/>
  <c r="C18" i="22" s="1"/>
  <c r="K173" i="20"/>
  <c r="J173" i="20"/>
  <c r="I173" i="20"/>
  <c r="K172" i="20"/>
  <c r="J172" i="20"/>
  <c r="I172" i="20"/>
  <c r="K171" i="20"/>
  <c r="J171" i="20"/>
  <c r="I171" i="20"/>
  <c r="K170" i="20"/>
  <c r="J170" i="20"/>
  <c r="I170" i="20"/>
  <c r="K169" i="20"/>
  <c r="J169" i="20"/>
  <c r="I169" i="20"/>
  <c r="K168" i="20"/>
  <c r="J168" i="20"/>
  <c r="I168" i="20"/>
  <c r="K167" i="20"/>
  <c r="J167" i="20"/>
  <c r="I167" i="20"/>
  <c r="K166" i="20"/>
  <c r="J166" i="20"/>
  <c r="I166" i="20"/>
  <c r="K165" i="20"/>
  <c r="J165" i="20"/>
  <c r="I165" i="20"/>
  <c r="K164" i="20"/>
  <c r="J164" i="20"/>
  <c r="I164" i="20"/>
  <c r="K163" i="20"/>
  <c r="J163" i="20"/>
  <c r="I163" i="20"/>
  <c r="K161" i="20"/>
  <c r="J161" i="20"/>
  <c r="I161" i="20"/>
  <c r="K160" i="20"/>
  <c r="J160" i="20"/>
  <c r="I160" i="20"/>
  <c r="K159" i="20"/>
  <c r="I159" i="20"/>
  <c r="K158" i="20"/>
  <c r="J158" i="20"/>
  <c r="I158" i="20"/>
  <c r="I157" i="20"/>
  <c r="J156" i="20"/>
  <c r="I156" i="20"/>
  <c r="I155" i="20"/>
  <c r="J154" i="20"/>
  <c r="I154" i="20"/>
  <c r="K153" i="20"/>
  <c r="J153" i="20"/>
  <c r="I153" i="20"/>
  <c r="K152" i="20"/>
  <c r="J152" i="20"/>
  <c r="I152" i="20"/>
  <c r="K151" i="20"/>
  <c r="J151" i="20"/>
  <c r="I151" i="20"/>
  <c r="K150" i="20"/>
  <c r="J150" i="20"/>
  <c r="K149" i="20"/>
  <c r="F149" i="20"/>
  <c r="G149" i="20" s="1"/>
  <c r="D16" i="22" s="1"/>
  <c r="D20" i="22" s="1"/>
  <c r="C149" i="20"/>
  <c r="D149" i="20" s="1"/>
  <c r="C16" i="22" s="1"/>
  <c r="C20" i="22" s="1"/>
  <c r="K148" i="20"/>
  <c r="J148" i="20"/>
  <c r="I148" i="20"/>
  <c r="K147" i="20"/>
  <c r="J147" i="20"/>
  <c r="I147" i="20"/>
  <c r="K146" i="20"/>
  <c r="J146" i="20"/>
  <c r="I146" i="20"/>
  <c r="K145" i="20"/>
  <c r="J145" i="20"/>
  <c r="I145" i="20"/>
  <c r="K144" i="20"/>
  <c r="J144" i="20"/>
  <c r="I144" i="20"/>
  <c r="K143" i="20"/>
  <c r="J143" i="20"/>
  <c r="I143" i="20"/>
  <c r="K142" i="20"/>
  <c r="J142" i="20"/>
  <c r="I142" i="20"/>
  <c r="K141" i="20"/>
  <c r="J141" i="20"/>
  <c r="I141" i="20"/>
  <c r="K140" i="20"/>
  <c r="J140" i="20"/>
  <c r="I140" i="20"/>
  <c r="K139" i="20"/>
  <c r="J139" i="20"/>
  <c r="I139" i="20"/>
  <c r="K138" i="20"/>
  <c r="J138" i="20"/>
  <c r="I138" i="20"/>
  <c r="I137" i="20"/>
  <c r="K136" i="20"/>
  <c r="J136" i="20"/>
  <c r="I136" i="20"/>
  <c r="K135" i="20"/>
  <c r="J135" i="20"/>
  <c r="I135" i="20"/>
  <c r="K134" i="20"/>
  <c r="J134" i="20"/>
  <c r="I134" i="20"/>
  <c r="K133" i="20"/>
  <c r="J133" i="20"/>
  <c r="I133" i="20"/>
  <c r="K132" i="20"/>
  <c r="F131" i="20"/>
  <c r="C131" i="20"/>
  <c r="K130" i="20"/>
  <c r="I129" i="20"/>
  <c r="K128" i="20"/>
  <c r="I128" i="20"/>
  <c r="C12" i="22"/>
  <c r="K127" i="20"/>
  <c r="J127" i="20"/>
  <c r="I127" i="20"/>
  <c r="K126" i="20"/>
  <c r="J126" i="20"/>
  <c r="I126" i="20"/>
  <c r="K125" i="20"/>
  <c r="J125" i="20"/>
  <c r="I125" i="20"/>
  <c r="K124" i="20"/>
  <c r="J124" i="20"/>
  <c r="I124" i="20"/>
  <c r="K123" i="20"/>
  <c r="I123" i="20"/>
  <c r="G123" i="20"/>
  <c r="D10" i="22" s="1"/>
  <c r="D123" i="20"/>
  <c r="K122" i="20"/>
  <c r="J122" i="20"/>
  <c r="I122" i="20"/>
  <c r="K121" i="20"/>
  <c r="J121" i="20"/>
  <c r="I121" i="20"/>
  <c r="K120" i="20"/>
  <c r="J120" i="20"/>
  <c r="I120" i="20"/>
  <c r="K119" i="20"/>
  <c r="J119" i="20"/>
  <c r="I119" i="20"/>
  <c r="K118" i="20"/>
  <c r="J118" i="20"/>
  <c r="I118" i="20"/>
  <c r="K117" i="20"/>
  <c r="I117" i="20"/>
  <c r="G117" i="20"/>
  <c r="D11" i="22" s="1"/>
  <c r="D117" i="20"/>
  <c r="K116" i="20"/>
  <c r="J116" i="20"/>
  <c r="I116" i="20"/>
  <c r="K115" i="20"/>
  <c r="J115" i="20"/>
  <c r="I115" i="20"/>
  <c r="K114" i="20"/>
  <c r="J114" i="20"/>
  <c r="I114" i="20"/>
  <c r="I113" i="20"/>
  <c r="J112" i="20"/>
  <c r="I112" i="20"/>
  <c r="K111" i="20"/>
  <c r="I111" i="20"/>
  <c r="G111" i="20"/>
  <c r="D111" i="20"/>
  <c r="C9" i="22" s="1"/>
  <c r="K110" i="20"/>
  <c r="J110" i="20"/>
  <c r="I110" i="20"/>
  <c r="K109" i="20"/>
  <c r="J109" i="20"/>
  <c r="I109" i="20"/>
  <c r="K108" i="20"/>
  <c r="J108" i="20"/>
  <c r="I108" i="20"/>
  <c r="K107" i="20"/>
  <c r="J107" i="20"/>
  <c r="I107" i="20"/>
  <c r="K106" i="20"/>
  <c r="J106" i="20"/>
  <c r="J105" i="20"/>
  <c r="I104" i="20"/>
  <c r="G104" i="20"/>
  <c r="D74" i="22" s="1"/>
  <c r="D104" i="20"/>
  <c r="K103" i="20"/>
  <c r="J103" i="20"/>
  <c r="I103" i="20"/>
  <c r="K102" i="20"/>
  <c r="J102" i="20"/>
  <c r="I102" i="20"/>
  <c r="K101" i="20"/>
  <c r="J101" i="20"/>
  <c r="I101" i="20"/>
  <c r="K100" i="20"/>
  <c r="J100" i="20"/>
  <c r="I100" i="20"/>
  <c r="K99" i="20"/>
  <c r="J99" i="20"/>
  <c r="I99" i="20"/>
  <c r="K98" i="20"/>
  <c r="I98" i="20"/>
  <c r="G98" i="20"/>
  <c r="D73" i="22" s="1"/>
  <c r="D98" i="20"/>
  <c r="C73" i="22" s="1"/>
  <c r="K97" i="20"/>
  <c r="J97" i="20"/>
  <c r="I97" i="20"/>
  <c r="K96" i="20"/>
  <c r="I96" i="20"/>
  <c r="G96" i="20"/>
  <c r="D67" i="22" s="1"/>
  <c r="D69" i="22" s="1"/>
  <c r="D96" i="20"/>
  <c r="C67" i="22" s="1"/>
  <c r="C69" i="22" s="1"/>
  <c r="K95" i="20"/>
  <c r="J95" i="20"/>
  <c r="I95" i="20"/>
  <c r="K94" i="20"/>
  <c r="J94" i="20"/>
  <c r="I94" i="20"/>
  <c r="K93" i="20"/>
  <c r="I93" i="20"/>
  <c r="G93" i="20"/>
  <c r="D72" i="22" s="1"/>
  <c r="D75" i="22" s="1"/>
  <c r="D93" i="20"/>
  <c r="K92" i="20"/>
  <c r="I92" i="20"/>
  <c r="G92" i="20"/>
  <c r="D68" i="22" s="1"/>
  <c r="D92" i="20"/>
  <c r="C68" i="22" s="1"/>
  <c r="K91" i="20"/>
  <c r="J91" i="20"/>
  <c r="I91" i="20"/>
  <c r="K90" i="20"/>
  <c r="J90" i="20"/>
  <c r="I90" i="20"/>
  <c r="K88" i="20"/>
  <c r="J88" i="20"/>
  <c r="I88" i="20"/>
  <c r="K87" i="20"/>
  <c r="J87" i="20"/>
  <c r="I87" i="20"/>
  <c r="K86" i="20"/>
  <c r="J86" i="20"/>
  <c r="I86" i="20"/>
  <c r="K85" i="20"/>
  <c r="J85" i="20"/>
  <c r="I85" i="20"/>
  <c r="K84" i="20"/>
  <c r="J84" i="20"/>
  <c r="I84" i="20"/>
  <c r="K83" i="20"/>
  <c r="J83" i="20"/>
  <c r="I83" i="20"/>
  <c r="K82" i="20"/>
  <c r="J82" i="20"/>
  <c r="I82" i="20"/>
  <c r="K80" i="20"/>
  <c r="I80" i="20"/>
  <c r="G80" i="20"/>
  <c r="D62" i="22" s="1"/>
  <c r="D80" i="20"/>
  <c r="C62" i="22" s="1"/>
  <c r="K79" i="20"/>
  <c r="J79" i="20"/>
  <c r="I79" i="20"/>
  <c r="K78" i="20"/>
  <c r="J78" i="20"/>
  <c r="I78" i="20"/>
  <c r="K77" i="20"/>
  <c r="J77" i="20"/>
  <c r="I77" i="20"/>
  <c r="K76" i="20"/>
  <c r="J76" i="20"/>
  <c r="I76" i="20"/>
  <c r="K75" i="20"/>
  <c r="J75" i="20"/>
  <c r="I75" i="20"/>
  <c r="K74" i="20"/>
  <c r="J74" i="20"/>
  <c r="I74" i="20"/>
  <c r="K73" i="20"/>
  <c r="J73" i="20"/>
  <c r="I73" i="20"/>
  <c r="K71" i="20"/>
  <c r="J71" i="20"/>
  <c r="I71" i="20"/>
  <c r="K70" i="20"/>
  <c r="J70" i="20"/>
  <c r="I70" i="20"/>
  <c r="K69" i="20"/>
  <c r="J69" i="20"/>
  <c r="I69" i="20"/>
  <c r="K68" i="20"/>
  <c r="J68" i="20"/>
  <c r="I68" i="20"/>
  <c r="K67" i="20"/>
  <c r="J67" i="20"/>
  <c r="I67" i="20"/>
  <c r="K66" i="20"/>
  <c r="J66" i="20"/>
  <c r="I66" i="20"/>
  <c r="K65" i="20"/>
  <c r="J65" i="20"/>
  <c r="I65" i="20"/>
  <c r="K64" i="20"/>
  <c r="J64" i="20"/>
  <c r="I64" i="20"/>
  <c r="K63" i="20"/>
  <c r="J63" i="20"/>
  <c r="I63" i="20"/>
  <c r="K62" i="20"/>
  <c r="J62" i="20"/>
  <c r="I62" i="20"/>
  <c r="K61" i="20"/>
  <c r="J61" i="20"/>
  <c r="I61" i="20"/>
  <c r="K60" i="20"/>
  <c r="J60" i="20"/>
  <c r="I60" i="20"/>
  <c r="K59" i="20"/>
  <c r="J59" i="20"/>
  <c r="I59" i="20"/>
  <c r="K58" i="20"/>
  <c r="J58" i="20"/>
  <c r="I58" i="20"/>
  <c r="K57" i="20"/>
  <c r="J57" i="20"/>
  <c r="I57" i="20"/>
  <c r="K56" i="20"/>
  <c r="J56" i="20"/>
  <c r="I56" i="20"/>
  <c r="K55" i="20"/>
  <c r="J55" i="20"/>
  <c r="I55" i="20"/>
  <c r="K54" i="20"/>
  <c r="J54" i="20"/>
  <c r="I54" i="20"/>
  <c r="K53" i="20"/>
  <c r="J53" i="20"/>
  <c r="I53" i="20"/>
  <c r="K52" i="20"/>
  <c r="J52" i="20"/>
  <c r="I52" i="20"/>
  <c r="K51" i="20"/>
  <c r="J51" i="20"/>
  <c r="I51" i="20"/>
  <c r="K50" i="20"/>
  <c r="J50" i="20"/>
  <c r="I50" i="20"/>
  <c r="K49" i="20"/>
  <c r="J49" i="20"/>
  <c r="I49" i="20"/>
  <c r="K48" i="20"/>
  <c r="J48" i="20"/>
  <c r="I48" i="20"/>
  <c r="K47" i="20"/>
  <c r="J47" i="20"/>
  <c r="I47" i="20"/>
  <c r="K46" i="20"/>
  <c r="J46" i="20"/>
  <c r="I46" i="20"/>
  <c r="K45" i="20"/>
  <c r="J45" i="20"/>
  <c r="I45" i="20"/>
  <c r="K44" i="20"/>
  <c r="J44" i="20"/>
  <c r="I44" i="20"/>
  <c r="K43" i="20"/>
  <c r="J43" i="20"/>
  <c r="I43" i="20"/>
  <c r="K42" i="20"/>
  <c r="J41" i="20"/>
  <c r="C41" i="20"/>
  <c r="I40" i="20"/>
  <c r="G40" i="20"/>
  <c r="D51" i="22" s="1"/>
  <c r="D40" i="20"/>
  <c r="C51" i="22" s="1"/>
  <c r="K39" i="20"/>
  <c r="J39" i="20"/>
  <c r="I39" i="20"/>
  <c r="K38" i="20"/>
  <c r="J38" i="20"/>
  <c r="I38" i="20"/>
  <c r="K37" i="20"/>
  <c r="J37" i="20"/>
  <c r="I37" i="20"/>
  <c r="K36" i="20"/>
  <c r="J36" i="20"/>
  <c r="I36" i="20"/>
  <c r="K35" i="20"/>
  <c r="J35" i="20"/>
  <c r="I35" i="20"/>
  <c r="K34" i="20"/>
  <c r="J34" i="20"/>
  <c r="I34" i="20"/>
  <c r="K33" i="20"/>
  <c r="J33" i="20"/>
  <c r="I33" i="20"/>
  <c r="K32" i="20"/>
  <c r="J32" i="20"/>
  <c r="I32" i="20"/>
  <c r="K31" i="20"/>
  <c r="J31" i="20"/>
  <c r="I31" i="20"/>
  <c r="K30" i="20"/>
  <c r="J30" i="20"/>
  <c r="I30" i="20"/>
  <c r="K29" i="20"/>
  <c r="J29" i="20"/>
  <c r="I29" i="20"/>
  <c r="K28" i="20"/>
  <c r="J28" i="20"/>
  <c r="I28" i="20"/>
  <c r="K27" i="20"/>
  <c r="J27" i="20"/>
  <c r="I27" i="20"/>
  <c r="K26" i="20"/>
  <c r="J26" i="20"/>
  <c r="I26" i="20"/>
  <c r="K25" i="20"/>
  <c r="J25" i="20"/>
  <c r="I25" i="20"/>
  <c r="K24" i="20"/>
  <c r="I24" i="20"/>
  <c r="G24" i="20"/>
  <c r="D50" i="22" s="1"/>
  <c r="D24" i="20"/>
  <c r="C50" i="22" s="1"/>
  <c r="K23" i="20"/>
  <c r="J23" i="20"/>
  <c r="I23" i="20"/>
  <c r="K22" i="20"/>
  <c r="J22" i="20"/>
  <c r="I22" i="20"/>
  <c r="K21" i="20"/>
  <c r="J21" i="20"/>
  <c r="I21" i="20"/>
  <c r="K20" i="20"/>
  <c r="J20" i="20"/>
  <c r="I20" i="20"/>
  <c r="K19" i="20"/>
  <c r="J19" i="20"/>
  <c r="I19" i="20"/>
  <c r="K18" i="20"/>
  <c r="I18" i="20"/>
  <c r="G18" i="20"/>
  <c r="D49" i="22" s="1"/>
  <c r="D18" i="20"/>
  <c r="C49" i="22" s="1"/>
  <c r="K17" i="20"/>
  <c r="J17" i="20"/>
  <c r="I17" i="20"/>
  <c r="K16" i="20"/>
  <c r="J16" i="20"/>
  <c r="I16" i="20"/>
  <c r="K15" i="20"/>
  <c r="I15" i="20"/>
  <c r="G15" i="20"/>
  <c r="D48" i="22" s="1"/>
  <c r="D52" i="22" s="1"/>
  <c r="D15" i="20"/>
  <c r="K14" i="20"/>
  <c r="I14" i="20"/>
  <c r="I12" i="20"/>
  <c r="J11" i="20"/>
  <c r="I11" i="20"/>
  <c r="K10" i="20"/>
  <c r="J10" i="20"/>
  <c r="I10" i="20"/>
  <c r="K9" i="20"/>
  <c r="J9" i="20"/>
  <c r="I9" i="20"/>
  <c r="K8" i="20"/>
  <c r="J8" i="20"/>
  <c r="F8" i="20"/>
  <c r="K6" i="20"/>
  <c r="I6" i="20"/>
  <c r="G6" i="20"/>
  <c r="D43" i="22" s="1"/>
  <c r="D6" i="20"/>
  <c r="K5" i="20"/>
  <c r="J5" i="20"/>
  <c r="I5" i="20"/>
  <c r="K4" i="20"/>
  <c r="J4" i="20"/>
  <c r="I4" i="20"/>
  <c r="K3" i="20"/>
  <c r="I3" i="20"/>
  <c r="G3" i="20"/>
  <c r="H11" i="20" s="1"/>
  <c r="D64" i="24" l="1"/>
  <c r="D77" i="24" s="1"/>
  <c r="C155" i="25"/>
  <c r="C63" i="24"/>
  <c r="C64" i="24" s="1"/>
  <c r="C77" i="24" s="1"/>
  <c r="J93" i="23"/>
  <c r="E93" i="23"/>
  <c r="J96" i="20"/>
  <c r="J104" i="20"/>
  <c r="C74" i="22"/>
  <c r="H131" i="20"/>
  <c r="D9" i="22"/>
  <c r="D13" i="22" s="1"/>
  <c r="J123" i="20"/>
  <c r="C10" i="22"/>
  <c r="C13" i="22" s="1"/>
  <c r="C22" i="22" s="1"/>
  <c r="C29" i="22" s="1"/>
  <c r="E131" i="20"/>
  <c r="J6" i="20"/>
  <c r="I8" i="20"/>
  <c r="G14" i="20"/>
  <c r="D44" i="22" s="1"/>
  <c r="D45" i="22" s="1"/>
  <c r="D54" i="22" s="1"/>
  <c r="J15" i="20"/>
  <c r="C48" i="22"/>
  <c r="C52" i="22" s="1"/>
  <c r="F41" i="20"/>
  <c r="E11" i="20"/>
  <c r="C43" i="22"/>
  <c r="C45" i="22" s="1"/>
  <c r="J92" i="20"/>
  <c r="E104" i="20"/>
  <c r="C72" i="22"/>
  <c r="J117" i="20"/>
  <c r="C11" i="22"/>
  <c r="E145" i="21"/>
  <c r="E150" i="21" s="1"/>
  <c r="F208" i="21"/>
  <c r="I41" i="20"/>
  <c r="J242" i="20"/>
  <c r="J237" i="20"/>
  <c r="J234" i="20"/>
  <c r="J177" i="20"/>
  <c r="H242" i="20"/>
  <c r="J174" i="20"/>
  <c r="I174" i="20"/>
  <c r="J111" i="20"/>
  <c r="J128" i="20"/>
  <c r="K131" i="20"/>
  <c r="H104" i="20"/>
  <c r="K104" i="20" s="1"/>
  <c r="J98" i="20"/>
  <c r="J40" i="20"/>
  <c r="H40" i="20"/>
  <c r="H41" i="20" s="1"/>
  <c r="J24" i="20"/>
  <c r="J18" i="20"/>
  <c r="D22" i="22"/>
  <c r="D29" i="22" s="1"/>
  <c r="E208" i="21"/>
  <c r="K11" i="20"/>
  <c r="E242" i="20"/>
  <c r="J149" i="20"/>
  <c r="J93" i="20"/>
  <c r="J14" i="20"/>
  <c r="J3" i="20"/>
  <c r="I234" i="20"/>
  <c r="E40" i="20"/>
  <c r="I149" i="20"/>
  <c r="J80" i="20"/>
  <c r="E188" i="19"/>
  <c r="C157" i="25" l="1"/>
  <c r="E155" i="25"/>
  <c r="E157" i="25" s="1"/>
  <c r="E109" i="23"/>
  <c r="K109" i="23" s="1"/>
  <c r="K93" i="23"/>
  <c r="C32" i="22"/>
  <c r="C33" i="22" s="1"/>
  <c r="C89" i="20"/>
  <c r="K40" i="20"/>
  <c r="C75" i="22"/>
  <c r="C54" i="22"/>
  <c r="D32" i="22"/>
  <c r="D33" i="22" s="1"/>
  <c r="F89" i="20"/>
  <c r="K242" i="20"/>
  <c r="E41" i="20"/>
  <c r="K41" i="20" s="1"/>
  <c r="F182" i="19"/>
  <c r="E162" i="19"/>
  <c r="F173" i="19"/>
  <c r="G89" i="20" l="1"/>
  <c r="F105" i="20"/>
  <c r="D89" i="20"/>
  <c r="C105" i="20"/>
  <c r="I105" i="20" s="1"/>
  <c r="I89" i="20"/>
  <c r="D117" i="19"/>
  <c r="C38" i="19"/>
  <c r="C37" i="19"/>
  <c r="C36" i="19"/>
  <c r="C35" i="19"/>
  <c r="D38" i="19"/>
  <c r="D37" i="19"/>
  <c r="D36" i="19"/>
  <c r="D35" i="19"/>
  <c r="C63" i="22" l="1"/>
  <c r="C64" i="22" s="1"/>
  <c r="C77" i="22" s="1"/>
  <c r="J89" i="20"/>
  <c r="E89" i="20"/>
  <c r="D63" i="22"/>
  <c r="D64" i="22" s="1"/>
  <c r="D77" i="22" s="1"/>
  <c r="H89" i="20"/>
  <c r="H105" i="20" s="1"/>
  <c r="D190" i="19"/>
  <c r="C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6" i="19"/>
  <c r="F175" i="19"/>
  <c r="F174" i="19"/>
  <c r="F172" i="19"/>
  <c r="F171" i="19"/>
  <c r="F170" i="19"/>
  <c r="F169" i="19"/>
  <c r="F168" i="19"/>
  <c r="F167" i="19"/>
  <c r="F166" i="19"/>
  <c r="F165" i="19"/>
  <c r="F164" i="19"/>
  <c r="F163" i="19"/>
  <c r="E190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E133" i="19"/>
  <c r="D130" i="19"/>
  <c r="D135" i="19" s="1"/>
  <c r="C130" i="19"/>
  <c r="C135" i="19" s="1"/>
  <c r="E128" i="19"/>
  <c r="E127" i="19"/>
  <c r="D110" i="19"/>
  <c r="D103" i="19"/>
  <c r="D95" i="19"/>
  <c r="D88" i="19"/>
  <c r="D78" i="19"/>
  <c r="D64" i="19"/>
  <c r="D39" i="19"/>
  <c r="C39" i="19"/>
  <c r="G124" i="17"/>
  <c r="D232" i="17"/>
  <c r="L145" i="17"/>
  <c r="C127" i="17"/>
  <c r="D124" i="17"/>
  <c r="I207" i="17"/>
  <c r="I180" i="17"/>
  <c r="I153" i="17"/>
  <c r="I151" i="17"/>
  <c r="I133" i="17"/>
  <c r="I125" i="17"/>
  <c r="I109" i="17"/>
  <c r="I11" i="17"/>
  <c r="C60" i="18"/>
  <c r="A57" i="18"/>
  <c r="K238" i="17"/>
  <c r="K235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6" i="17"/>
  <c r="K205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85" i="17"/>
  <c r="K184" i="17"/>
  <c r="K183" i="17"/>
  <c r="K182" i="17"/>
  <c r="K181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2" i="17"/>
  <c r="K161" i="17"/>
  <c r="K160" i="17"/>
  <c r="J238" i="17"/>
  <c r="J235" i="17"/>
  <c r="J231" i="17"/>
  <c r="J230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79" i="17"/>
  <c r="J178" i="17"/>
  <c r="J177" i="17"/>
  <c r="J176" i="17"/>
  <c r="J175" i="17"/>
  <c r="J174" i="17"/>
  <c r="J173" i="17"/>
  <c r="J171" i="17"/>
  <c r="J170" i="17"/>
  <c r="J168" i="17"/>
  <c r="J167" i="17"/>
  <c r="J166" i="17"/>
  <c r="J165" i="17"/>
  <c r="J164" i="17"/>
  <c r="J163" i="17"/>
  <c r="J162" i="17"/>
  <c r="J161" i="17"/>
  <c r="J160" i="17"/>
  <c r="J159" i="17"/>
  <c r="J158" i="17"/>
  <c r="K159" i="17"/>
  <c r="K158" i="17"/>
  <c r="K157" i="17"/>
  <c r="K156" i="17"/>
  <c r="K155" i="17"/>
  <c r="K154" i="17"/>
  <c r="K152" i="17"/>
  <c r="K150" i="17"/>
  <c r="K149" i="17"/>
  <c r="K148" i="17"/>
  <c r="K147" i="17"/>
  <c r="K146" i="17"/>
  <c r="K145" i="17"/>
  <c r="K144" i="17"/>
  <c r="J157" i="17"/>
  <c r="J156" i="17"/>
  <c r="J154" i="17"/>
  <c r="J152" i="17"/>
  <c r="J150" i="17"/>
  <c r="J149" i="17"/>
  <c r="J148" i="17"/>
  <c r="J147" i="17"/>
  <c r="J146" i="17"/>
  <c r="J144" i="17"/>
  <c r="J143" i="17"/>
  <c r="J142" i="17"/>
  <c r="J141" i="17"/>
  <c r="J140" i="17"/>
  <c r="J139" i="17"/>
  <c r="J138" i="17"/>
  <c r="J137" i="17"/>
  <c r="J136" i="17"/>
  <c r="J135" i="17"/>
  <c r="J134" i="17"/>
  <c r="J132" i="17"/>
  <c r="J131" i="17"/>
  <c r="J130" i="17"/>
  <c r="J129" i="17"/>
  <c r="K143" i="17"/>
  <c r="K142" i="17"/>
  <c r="K141" i="17"/>
  <c r="K140" i="17"/>
  <c r="K139" i="17"/>
  <c r="K138" i="17"/>
  <c r="K137" i="17"/>
  <c r="K136" i="17"/>
  <c r="K135" i="17"/>
  <c r="K134" i="17"/>
  <c r="K132" i="17"/>
  <c r="K131" i="17"/>
  <c r="K130" i="17"/>
  <c r="K129" i="17"/>
  <c r="K128" i="17"/>
  <c r="K126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8" i="17"/>
  <c r="K107" i="17"/>
  <c r="K106" i="17"/>
  <c r="K105" i="17"/>
  <c r="K104" i="17"/>
  <c r="K103" i="17"/>
  <c r="K102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9" i="17"/>
  <c r="K8" i="17"/>
  <c r="K7" i="17"/>
  <c r="K6" i="17"/>
  <c r="K5" i="17"/>
  <c r="K4" i="17"/>
  <c r="K3" i="17"/>
  <c r="J30" i="17"/>
  <c r="J29" i="17"/>
  <c r="J28" i="17"/>
  <c r="J27" i="17"/>
  <c r="J26" i="17"/>
  <c r="J25" i="17"/>
  <c r="J24" i="17"/>
  <c r="J23" i="17"/>
  <c r="J21" i="17"/>
  <c r="J20" i="17"/>
  <c r="J19" i="17"/>
  <c r="J18" i="17"/>
  <c r="J17" i="17"/>
  <c r="J15" i="17"/>
  <c r="J14" i="17"/>
  <c r="J10" i="17"/>
  <c r="J9" i="17"/>
  <c r="J8" i="17"/>
  <c r="J7" i="17"/>
  <c r="J5" i="17"/>
  <c r="J4" i="17"/>
  <c r="J39" i="17"/>
  <c r="J37" i="17"/>
  <c r="J36" i="17"/>
  <c r="J35" i="17"/>
  <c r="J34" i="17"/>
  <c r="J33" i="17"/>
  <c r="J32" i="17"/>
  <c r="J3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93" i="17"/>
  <c r="J91" i="17"/>
  <c r="J90" i="17"/>
  <c r="J87" i="17"/>
  <c r="J86" i="17"/>
  <c r="J84" i="17"/>
  <c r="J83" i="17"/>
  <c r="J82" i="17"/>
  <c r="J81" i="17"/>
  <c r="J80" i="17"/>
  <c r="J79" i="17"/>
  <c r="J78" i="17"/>
  <c r="J76" i="17"/>
  <c r="J111" i="17"/>
  <c r="J110" i="17"/>
  <c r="J108" i="17"/>
  <c r="J106" i="17"/>
  <c r="J105" i="17"/>
  <c r="J104" i="17"/>
  <c r="J103" i="17"/>
  <c r="J102" i="17"/>
  <c r="J101" i="17"/>
  <c r="J99" i="17"/>
  <c r="J98" i="17"/>
  <c r="J97" i="17"/>
  <c r="J96" i="17"/>
  <c r="J95" i="17"/>
  <c r="J123" i="17"/>
  <c r="J122" i="17"/>
  <c r="J121" i="17"/>
  <c r="J120" i="17"/>
  <c r="J118" i="17"/>
  <c r="J117" i="17"/>
  <c r="J116" i="17"/>
  <c r="J115" i="17"/>
  <c r="J114" i="17"/>
  <c r="J112" i="17"/>
  <c r="F145" i="17"/>
  <c r="I237" i="17"/>
  <c r="I235" i="17"/>
  <c r="I232" i="17"/>
  <c r="I231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79" i="17"/>
  <c r="I178" i="17"/>
  <c r="I177" i="17"/>
  <c r="I176" i="17"/>
  <c r="I175" i="17"/>
  <c r="I174" i="17"/>
  <c r="I173" i="17"/>
  <c r="I172" i="17"/>
  <c r="I171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2" i="17"/>
  <c r="I150" i="17"/>
  <c r="I149" i="17"/>
  <c r="I148" i="17"/>
  <c r="I147" i="17"/>
  <c r="I144" i="17"/>
  <c r="I143" i="17"/>
  <c r="I142" i="17"/>
  <c r="I141" i="17"/>
  <c r="I140" i="17"/>
  <c r="I139" i="17"/>
  <c r="I138" i="17"/>
  <c r="I137" i="17"/>
  <c r="I136" i="17"/>
  <c r="I135" i="17"/>
  <c r="I134" i="17"/>
  <c r="I132" i="17"/>
  <c r="I131" i="17"/>
  <c r="I130" i="17"/>
  <c r="I129" i="17"/>
  <c r="I104" i="17"/>
  <c r="I103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0" i="17"/>
  <c r="I9" i="17"/>
  <c r="I8" i="17"/>
  <c r="I6" i="17"/>
  <c r="I5" i="17"/>
  <c r="I4" i="17"/>
  <c r="I3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8" i="17"/>
  <c r="I107" i="17"/>
  <c r="I106" i="17"/>
  <c r="I105" i="17"/>
  <c r="F238" i="17"/>
  <c r="C238" i="17"/>
  <c r="G237" i="17"/>
  <c r="D26" i="18" s="1"/>
  <c r="D237" i="17"/>
  <c r="G232" i="17"/>
  <c r="D25" i="18" s="1"/>
  <c r="F229" i="17"/>
  <c r="G229" i="17" s="1"/>
  <c r="D19" i="18" s="1"/>
  <c r="C229" i="17"/>
  <c r="D229" i="17" s="1"/>
  <c r="G172" i="17"/>
  <c r="D17" i="18" s="1"/>
  <c r="D172" i="17"/>
  <c r="F169" i="17"/>
  <c r="G169" i="17" s="1"/>
  <c r="D18" i="18" s="1"/>
  <c r="C169" i="17"/>
  <c r="D169" i="17" s="1"/>
  <c r="G145" i="17"/>
  <c r="D16" i="18" s="1"/>
  <c r="C145" i="17"/>
  <c r="D145" i="17" s="1"/>
  <c r="F127" i="17"/>
  <c r="C12" i="18"/>
  <c r="G119" i="17"/>
  <c r="D10" i="18" s="1"/>
  <c r="D119" i="17"/>
  <c r="C10" i="18" s="1"/>
  <c r="G113" i="17"/>
  <c r="D11" i="18" s="1"/>
  <c r="D113" i="17"/>
  <c r="G107" i="17"/>
  <c r="D107" i="17"/>
  <c r="G100" i="17"/>
  <c r="D74" i="18" s="1"/>
  <c r="D100" i="17"/>
  <c r="C74" i="18" s="1"/>
  <c r="G94" i="17"/>
  <c r="D73" i="18" s="1"/>
  <c r="D94" i="17"/>
  <c r="C73" i="18" s="1"/>
  <c r="G92" i="17"/>
  <c r="D67" i="18" s="1"/>
  <c r="D92" i="17"/>
  <c r="C67" i="18" s="1"/>
  <c r="G89" i="17"/>
  <c r="D72" i="18" s="1"/>
  <c r="D89" i="17"/>
  <c r="G88" i="17"/>
  <c r="D68" i="18" s="1"/>
  <c r="D88" i="17"/>
  <c r="G77" i="17"/>
  <c r="D62" i="18" s="1"/>
  <c r="D77" i="17"/>
  <c r="C62" i="18" s="1"/>
  <c r="C39" i="17"/>
  <c r="G38" i="17"/>
  <c r="D51" i="18" s="1"/>
  <c r="D38" i="17"/>
  <c r="G22" i="17"/>
  <c r="D50" i="18" s="1"/>
  <c r="D22" i="17"/>
  <c r="J22" i="17" s="1"/>
  <c r="G16" i="17"/>
  <c r="D49" i="18" s="1"/>
  <c r="D16" i="17"/>
  <c r="C49" i="18" s="1"/>
  <c r="G13" i="17"/>
  <c r="D48" i="18" s="1"/>
  <c r="D13" i="17"/>
  <c r="J13" i="17" s="1"/>
  <c r="D12" i="17"/>
  <c r="F7" i="17"/>
  <c r="G12" i="17" s="1"/>
  <c r="D44" i="18" s="1"/>
  <c r="G6" i="17"/>
  <c r="D43" i="18" s="1"/>
  <c r="D6" i="17"/>
  <c r="E10" i="17" s="1"/>
  <c r="G3" i="17"/>
  <c r="J113" i="17" l="1"/>
  <c r="K89" i="20"/>
  <c r="E105" i="20"/>
  <c r="K105" i="20" s="1"/>
  <c r="J38" i="17"/>
  <c r="J89" i="17"/>
  <c r="J232" i="17"/>
  <c r="J77" i="17"/>
  <c r="F39" i="17"/>
  <c r="E130" i="19"/>
  <c r="E135" i="19" s="1"/>
  <c r="J172" i="17"/>
  <c r="J6" i="17"/>
  <c r="H10" i="17"/>
  <c r="K10" i="17" s="1"/>
  <c r="I7" i="17"/>
  <c r="F162" i="19"/>
  <c r="J237" i="17"/>
  <c r="J229" i="17"/>
  <c r="C17" i="18"/>
  <c r="J169" i="17"/>
  <c r="E237" i="17"/>
  <c r="C18" i="18"/>
  <c r="C16" i="18"/>
  <c r="D52" i="18"/>
  <c r="J107" i="17"/>
  <c r="J94" i="17"/>
  <c r="D75" i="18"/>
  <c r="D69" i="18"/>
  <c r="E127" i="17"/>
  <c r="J92" i="17"/>
  <c r="D9" i="18"/>
  <c r="I238" i="17"/>
  <c r="J124" i="17"/>
  <c r="C9" i="18"/>
  <c r="J119" i="17"/>
  <c r="D12" i="18"/>
  <c r="C11" i="18"/>
  <c r="J3" i="17"/>
  <c r="C19" i="18"/>
  <c r="E100" i="17"/>
  <c r="C25" i="18"/>
  <c r="C26" i="18"/>
  <c r="C43" i="18"/>
  <c r="I169" i="17"/>
  <c r="J100" i="17"/>
  <c r="I145" i="17"/>
  <c r="C68" i="18"/>
  <c r="C69" i="18" s="1"/>
  <c r="J88" i="17"/>
  <c r="C72" i="18"/>
  <c r="C75" i="18" s="1"/>
  <c r="J12" i="17"/>
  <c r="J145" i="17"/>
  <c r="C51" i="18"/>
  <c r="E38" i="17"/>
  <c r="J16" i="17"/>
  <c r="C50" i="18"/>
  <c r="C48" i="18"/>
  <c r="D45" i="18"/>
  <c r="D54" i="18" s="1"/>
  <c r="I39" i="17"/>
  <c r="C44" i="18"/>
  <c r="D27" i="18"/>
  <c r="D20" i="18"/>
  <c r="I229" i="17"/>
  <c r="H237" i="17"/>
  <c r="H127" i="17"/>
  <c r="H100" i="17"/>
  <c r="H38" i="17"/>
  <c r="H39" i="17"/>
  <c r="D183" i="15"/>
  <c r="E157" i="15"/>
  <c r="D13" i="18" l="1"/>
  <c r="K100" i="17"/>
  <c r="K38" i="17"/>
  <c r="F190" i="19"/>
  <c r="C20" i="18"/>
  <c r="K237" i="17"/>
  <c r="C27" i="18"/>
  <c r="C45" i="18"/>
  <c r="C13" i="18"/>
  <c r="K127" i="17"/>
  <c r="C52" i="18"/>
  <c r="E39" i="17"/>
  <c r="K39" i="17" s="1"/>
  <c r="D22" i="18"/>
  <c r="D110" i="15"/>
  <c r="C38" i="15"/>
  <c r="C37" i="15"/>
  <c r="C36" i="15"/>
  <c r="C35" i="15"/>
  <c r="D35" i="15"/>
  <c r="D38" i="15"/>
  <c r="D37" i="15"/>
  <c r="D36" i="15"/>
  <c r="D11" i="14"/>
  <c r="C44" i="16" s="1"/>
  <c r="D122" i="14"/>
  <c r="C12" i="16" s="1"/>
  <c r="D166" i="14"/>
  <c r="C17" i="16" s="1"/>
  <c r="G166" i="14"/>
  <c r="D17" i="16" s="1"/>
  <c r="F221" i="14"/>
  <c r="C221" i="14"/>
  <c r="D39" i="15" l="1"/>
  <c r="D29" i="18"/>
  <c r="C22" i="18"/>
  <c r="C29" i="18" s="1"/>
  <c r="C85" i="17" s="1"/>
  <c r="D85" i="17" s="1"/>
  <c r="C54" i="18"/>
  <c r="D32" i="18"/>
  <c r="D33" i="18" s="1"/>
  <c r="F85" i="17"/>
  <c r="F163" i="14"/>
  <c r="G163" i="14" s="1"/>
  <c r="D18" i="16" s="1"/>
  <c r="C163" i="14"/>
  <c r="C124" i="14"/>
  <c r="F124" i="14"/>
  <c r="G122" i="14"/>
  <c r="D12" i="16" s="1"/>
  <c r="G15" i="14"/>
  <c r="D49" i="16" s="1"/>
  <c r="G37" i="14"/>
  <c r="D51" i="16" s="1"/>
  <c r="C38" i="14"/>
  <c r="G6" i="14"/>
  <c r="D43" i="16" s="1"/>
  <c r="D60" i="16"/>
  <c r="C60" i="16"/>
  <c r="A57" i="16"/>
  <c r="C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E183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D125" i="15"/>
  <c r="C125" i="15"/>
  <c r="C130" i="15" s="1"/>
  <c r="E123" i="15"/>
  <c r="E122" i="15"/>
  <c r="D103" i="15"/>
  <c r="D95" i="15"/>
  <c r="D88" i="15"/>
  <c r="D78" i="15"/>
  <c r="D64" i="15"/>
  <c r="C39" i="15"/>
  <c r="F227" i="14"/>
  <c r="C227" i="14"/>
  <c r="G226" i="14"/>
  <c r="D26" i="16" s="1"/>
  <c r="D226" i="14"/>
  <c r="C26" i="16" s="1"/>
  <c r="G224" i="14"/>
  <c r="D25" i="16" s="1"/>
  <c r="D27" i="16" s="1"/>
  <c r="D224" i="14"/>
  <c r="C25" i="16" s="1"/>
  <c r="C27" i="16" s="1"/>
  <c r="D221" i="14"/>
  <c r="C19" i="16" s="1"/>
  <c r="G221" i="14"/>
  <c r="D19" i="16" s="1"/>
  <c r="D163" i="14"/>
  <c r="C18" i="16" s="1"/>
  <c r="F141" i="14"/>
  <c r="G141" i="14" s="1"/>
  <c r="D16" i="16" s="1"/>
  <c r="C141" i="14"/>
  <c r="D141" i="14" s="1"/>
  <c r="C16" i="16" s="1"/>
  <c r="G117" i="14"/>
  <c r="D10" i="16" s="1"/>
  <c r="D117" i="14"/>
  <c r="C10" i="16" s="1"/>
  <c r="G111" i="14"/>
  <c r="D11" i="16" s="1"/>
  <c r="D111" i="14"/>
  <c r="C11" i="16" s="1"/>
  <c r="G106" i="14"/>
  <c r="D9" i="16" s="1"/>
  <c r="D13" i="16" s="1"/>
  <c r="D106" i="14"/>
  <c r="C9" i="16" s="1"/>
  <c r="C13" i="16" s="1"/>
  <c r="G99" i="14"/>
  <c r="D74" i="16" s="1"/>
  <c r="D99" i="14"/>
  <c r="C74" i="16" s="1"/>
  <c r="G93" i="14"/>
  <c r="D73" i="16" s="1"/>
  <c r="D93" i="14"/>
  <c r="C73" i="16" s="1"/>
  <c r="G91" i="14"/>
  <c r="D67" i="16" s="1"/>
  <c r="D91" i="14"/>
  <c r="C67" i="16" s="1"/>
  <c r="G88" i="14"/>
  <c r="D72" i="16" s="1"/>
  <c r="D75" i="16" s="1"/>
  <c r="D88" i="14"/>
  <c r="C72" i="16" s="1"/>
  <c r="G87" i="14"/>
  <c r="D68" i="16" s="1"/>
  <c r="D87" i="14"/>
  <c r="C68" i="16" s="1"/>
  <c r="G76" i="14"/>
  <c r="D62" i="16" s="1"/>
  <c r="D76" i="14"/>
  <c r="C62" i="16" s="1"/>
  <c r="D37" i="14"/>
  <c r="C51" i="16" s="1"/>
  <c r="G21" i="14"/>
  <c r="D50" i="16" s="1"/>
  <c r="D21" i="14"/>
  <c r="C50" i="16" s="1"/>
  <c r="D15" i="14"/>
  <c r="C49" i="16" s="1"/>
  <c r="G12" i="14"/>
  <c r="D48" i="16" s="1"/>
  <c r="D12" i="14"/>
  <c r="C48" i="16" s="1"/>
  <c r="F7" i="14"/>
  <c r="D6" i="14"/>
  <c r="C43" i="16" s="1"/>
  <c r="C45" i="16" s="1"/>
  <c r="G3" i="14"/>
  <c r="D52" i="16" l="1"/>
  <c r="D69" i="16"/>
  <c r="E125" i="15"/>
  <c r="C69" i="16"/>
  <c r="F38" i="14"/>
  <c r="G11" i="14"/>
  <c r="D44" i="16" s="1"/>
  <c r="D45" i="16" s="1"/>
  <c r="D54" i="16" s="1"/>
  <c r="C20" i="16"/>
  <c r="D20" i="16"/>
  <c r="D22" i="16" s="1"/>
  <c r="D29" i="16" s="1"/>
  <c r="C52" i="16"/>
  <c r="C54" i="16" s="1"/>
  <c r="C75" i="16"/>
  <c r="C101" i="17"/>
  <c r="C32" i="18"/>
  <c r="C33" i="18" s="1"/>
  <c r="C63" i="18"/>
  <c r="C64" i="18" s="1"/>
  <c r="C77" i="18" s="1"/>
  <c r="E85" i="17"/>
  <c r="E101" i="17" s="1"/>
  <c r="E128" i="15"/>
  <c r="E130" i="15" s="1"/>
  <c r="E99" i="14"/>
  <c r="C22" i="16"/>
  <c r="C29" i="16" s="1"/>
  <c r="H124" i="14"/>
  <c r="E226" i="14"/>
  <c r="E124" i="14"/>
  <c r="E37" i="14"/>
  <c r="H37" i="14"/>
  <c r="E10" i="14"/>
  <c r="H226" i="14"/>
  <c r="H99" i="14"/>
  <c r="D130" i="15"/>
  <c r="F157" i="15"/>
  <c r="F183" i="15" s="1"/>
  <c r="H10" i="14"/>
  <c r="H38" i="14" s="1"/>
  <c r="E149" i="12"/>
  <c r="E38" i="14" l="1"/>
  <c r="D32" i="16"/>
  <c r="D33" i="16" s="1"/>
  <c r="F84" i="14"/>
  <c r="G84" i="14" s="1"/>
  <c r="F100" i="14"/>
  <c r="I85" i="17"/>
  <c r="F101" i="17"/>
  <c r="I101" i="17" s="1"/>
  <c r="G85" i="17"/>
  <c r="D63" i="18" s="1"/>
  <c r="D64" i="18" s="1"/>
  <c r="D77" i="18" s="1"/>
  <c r="C32" i="16"/>
  <c r="C33" i="16" s="1"/>
  <c r="C84" i="14"/>
  <c r="D84" i="14" s="1"/>
  <c r="F80" i="10"/>
  <c r="H85" i="17" l="1"/>
  <c r="J85" i="17"/>
  <c r="D63" i="16"/>
  <c r="D64" i="16" s="1"/>
  <c r="D77" i="16" s="1"/>
  <c r="H84" i="14"/>
  <c r="H100" i="14" s="1"/>
  <c r="C100" i="14"/>
  <c r="G80" i="10"/>
  <c r="D75" i="11"/>
  <c r="D69" i="11"/>
  <c r="D54" i="11"/>
  <c r="D103" i="12"/>
  <c r="C38" i="12"/>
  <c r="C35" i="12"/>
  <c r="C37" i="12"/>
  <c r="C36" i="12"/>
  <c r="D117" i="10"/>
  <c r="C12" i="11" s="1"/>
  <c r="D107" i="10"/>
  <c r="C11" i="11" s="1"/>
  <c r="C210" i="10"/>
  <c r="D209" i="10"/>
  <c r="C26" i="11" s="1"/>
  <c r="D207" i="10"/>
  <c r="C25" i="11" s="1"/>
  <c r="G209" i="10"/>
  <c r="C204" i="10"/>
  <c r="D204" i="10" s="1"/>
  <c r="C19" i="11" s="1"/>
  <c r="D155" i="10"/>
  <c r="C17" i="11" s="1"/>
  <c r="C153" i="10"/>
  <c r="D153" i="10" s="1"/>
  <c r="C18" i="11" s="1"/>
  <c r="C134" i="10"/>
  <c r="D134" i="10" s="1"/>
  <c r="C16" i="11" s="1"/>
  <c r="F134" i="10"/>
  <c r="G117" i="10"/>
  <c r="D112" i="10"/>
  <c r="C10" i="11" s="1"/>
  <c r="D102" i="10"/>
  <c r="C9" i="11" s="1"/>
  <c r="D95" i="10"/>
  <c r="C74" i="11" s="1"/>
  <c r="G95" i="10"/>
  <c r="D89" i="10"/>
  <c r="C73" i="11" s="1"/>
  <c r="D87" i="10"/>
  <c r="C67" i="11" s="1"/>
  <c r="D84" i="10"/>
  <c r="C72" i="11" s="1"/>
  <c r="D83" i="10"/>
  <c r="D72" i="10"/>
  <c r="C62" i="11" s="1"/>
  <c r="D33" i="10"/>
  <c r="C51" i="11" s="1"/>
  <c r="D19" i="10"/>
  <c r="C50" i="11" s="1"/>
  <c r="D14" i="10"/>
  <c r="C49" i="11" s="1"/>
  <c r="D11" i="10"/>
  <c r="C48" i="11" s="1"/>
  <c r="D10" i="10"/>
  <c r="C44" i="11" s="1"/>
  <c r="D6" i="10"/>
  <c r="C43" i="11" s="1"/>
  <c r="M204" i="13"/>
  <c r="N203" i="13"/>
  <c r="F203" i="13"/>
  <c r="N202" i="13"/>
  <c r="F202" i="13"/>
  <c r="F199" i="13"/>
  <c r="E199" i="13"/>
  <c r="M198" i="13"/>
  <c r="M196" i="13"/>
  <c r="M199" i="13" s="1"/>
  <c r="N199" i="13" s="1"/>
  <c r="N150" i="13"/>
  <c r="F150" i="13"/>
  <c r="M148" i="13"/>
  <c r="N148" i="13" s="1"/>
  <c r="F148" i="13"/>
  <c r="M130" i="13"/>
  <c r="N130" i="13" s="1"/>
  <c r="F130" i="13"/>
  <c r="M116" i="13"/>
  <c r="N115" i="13"/>
  <c r="F115" i="13"/>
  <c r="N110" i="13"/>
  <c r="F110" i="13"/>
  <c r="N105" i="13"/>
  <c r="F105" i="13"/>
  <c r="N100" i="13"/>
  <c r="F100" i="13"/>
  <c r="C96" i="13"/>
  <c r="N95" i="13"/>
  <c r="F95" i="13"/>
  <c r="N90" i="13"/>
  <c r="F90" i="13"/>
  <c r="N88" i="13"/>
  <c r="F88" i="13"/>
  <c r="N85" i="13"/>
  <c r="F85" i="13"/>
  <c r="N84" i="13"/>
  <c r="O95" i="13" s="1"/>
  <c r="F84" i="13"/>
  <c r="E79" i="13"/>
  <c r="E78" i="13"/>
  <c r="E77" i="13"/>
  <c r="E75" i="13"/>
  <c r="N74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7" i="13"/>
  <c r="C37" i="13"/>
  <c r="N36" i="13"/>
  <c r="F36" i="13"/>
  <c r="N22" i="13"/>
  <c r="F22" i="13"/>
  <c r="N13" i="13"/>
  <c r="F13" i="13"/>
  <c r="N12" i="13"/>
  <c r="F12" i="13"/>
  <c r="F11" i="13"/>
  <c r="M7" i="13"/>
  <c r="M37" i="13" s="1"/>
  <c r="N6" i="13"/>
  <c r="F6" i="13"/>
  <c r="N3" i="13"/>
  <c r="F3" i="13"/>
  <c r="G11" i="13" s="1"/>
  <c r="N11" i="13" l="1"/>
  <c r="O11" i="13" s="1"/>
  <c r="E95" i="10"/>
  <c r="G115" i="13"/>
  <c r="O115" i="13"/>
  <c r="O203" i="13"/>
  <c r="O36" i="13"/>
  <c r="P36" i="13" s="1"/>
  <c r="G95" i="13"/>
  <c r="G36" i="13"/>
  <c r="H36" i="13" s="1"/>
  <c r="F74" i="13"/>
  <c r="G203" i="13"/>
  <c r="K85" i="17"/>
  <c r="H101" i="17"/>
  <c r="K101" i="17" s="1"/>
  <c r="C63" i="16"/>
  <c r="C64" i="16" s="1"/>
  <c r="C77" i="16" s="1"/>
  <c r="E84" i="14"/>
  <c r="E100" i="14" s="1"/>
  <c r="E10" i="10"/>
  <c r="E33" i="10"/>
  <c r="E209" i="10"/>
  <c r="C68" i="11"/>
  <c r="E118" i="10"/>
  <c r="P203" i="13"/>
  <c r="M81" i="13" s="1"/>
  <c r="H203" i="13"/>
  <c r="E34" i="10" l="1"/>
  <c r="M96" i="13"/>
  <c r="N80" i="13"/>
  <c r="D206" i="13"/>
  <c r="E81" i="13"/>
  <c r="O74" i="13" l="1"/>
  <c r="P95" i="13" s="1"/>
  <c r="Q79" i="13" s="1"/>
  <c r="C64" i="8"/>
  <c r="D63" i="11" s="1"/>
  <c r="D64" i="11" s="1"/>
  <c r="D77" i="11" s="1"/>
  <c r="F81" i="13"/>
  <c r="G74" i="13" s="1"/>
  <c r="H95" i="13" s="1"/>
  <c r="F79" i="13"/>
  <c r="E96" i="13"/>
  <c r="E175" i="12" l="1"/>
  <c r="D120" i="12" s="1"/>
  <c r="D175" i="12"/>
  <c r="C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D117" i="12"/>
  <c r="E115" i="12"/>
  <c r="E114" i="12"/>
  <c r="D95" i="12"/>
  <c r="D88" i="12"/>
  <c r="D78" i="12"/>
  <c r="D64" i="12"/>
  <c r="D60" i="11"/>
  <c r="C60" i="11"/>
  <c r="A57" i="11"/>
  <c r="E117" i="12" l="1"/>
  <c r="F175" i="12"/>
  <c r="E120" i="12"/>
  <c r="D122" i="12"/>
  <c r="C39" i="12"/>
  <c r="C117" i="12"/>
  <c r="C122" i="12" s="1"/>
  <c r="C191" i="9"/>
  <c r="D191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47" i="9"/>
  <c r="E191" i="9"/>
  <c r="D79" i="9"/>
  <c r="G155" i="10"/>
  <c r="G19" i="10"/>
  <c r="G14" i="10"/>
  <c r="E122" i="12" l="1"/>
  <c r="C17" i="8"/>
  <c r="F191" i="9"/>
  <c r="C191" i="3"/>
  <c r="H185" i="3"/>
  <c r="D185" i="3"/>
  <c r="C25" i="2" s="1"/>
  <c r="G181" i="3"/>
  <c r="H181" i="3" s="1"/>
  <c r="D181" i="3"/>
  <c r="H179" i="3"/>
  <c r="D179" i="3"/>
  <c r="H126" i="3"/>
  <c r="D126" i="3"/>
  <c r="H114" i="3"/>
  <c r="D114" i="3"/>
  <c r="H110" i="3"/>
  <c r="D110" i="3"/>
  <c r="H104" i="3"/>
  <c r="D104" i="3"/>
  <c r="H99" i="3"/>
  <c r="D99" i="3"/>
  <c r="H91" i="3"/>
  <c r="D91" i="3"/>
  <c r="C9" i="2" s="1"/>
  <c r="D86" i="3"/>
  <c r="C75" i="2" s="1"/>
  <c r="H85" i="3"/>
  <c r="H80" i="3"/>
  <c r="D79" i="3"/>
  <c r="H75" i="3"/>
  <c r="D75" i="3"/>
  <c r="H71" i="3"/>
  <c r="D71" i="3"/>
  <c r="C73" i="2" s="1"/>
  <c r="H70" i="3"/>
  <c r="D70" i="3"/>
  <c r="H62" i="3"/>
  <c r="H67" i="3" s="1"/>
  <c r="C122" i="4" s="1"/>
  <c r="D62" i="3"/>
  <c r="C63" i="2" s="1"/>
  <c r="H26" i="3"/>
  <c r="D26" i="3"/>
  <c r="C52" i="2" s="1"/>
  <c r="H16" i="3"/>
  <c r="D16" i="3"/>
  <c r="C51" i="2" s="1"/>
  <c r="H13" i="3"/>
  <c r="D12" i="3"/>
  <c r="H10" i="3"/>
  <c r="D10" i="3"/>
  <c r="H8" i="3"/>
  <c r="D8" i="3"/>
  <c r="C48" i="2" s="1"/>
  <c r="H7" i="3"/>
  <c r="D7" i="3"/>
  <c r="H5" i="3"/>
  <c r="D5" i="3"/>
  <c r="C43" i="2" s="1"/>
  <c r="H2" i="3"/>
  <c r="D2" i="3"/>
  <c r="D119" i="4"/>
  <c r="C117" i="4"/>
  <c r="E117" i="4" s="1"/>
  <c r="C116" i="4"/>
  <c r="D99" i="4"/>
  <c r="D101" i="4" s="1"/>
  <c r="D92" i="4"/>
  <c r="D94" i="4" s="1"/>
  <c r="D82" i="4"/>
  <c r="D84" i="4" s="1"/>
  <c r="D59" i="4"/>
  <c r="D42" i="4"/>
  <c r="C42" i="4"/>
  <c r="D41" i="4"/>
  <c r="C41" i="4"/>
  <c r="D40" i="4"/>
  <c r="C40" i="4"/>
  <c r="D76" i="2"/>
  <c r="C74" i="2"/>
  <c r="D70" i="2"/>
  <c r="C69" i="2"/>
  <c r="C68" i="2"/>
  <c r="C70" i="2" s="1"/>
  <c r="D65" i="2"/>
  <c r="D61" i="2"/>
  <c r="C61" i="2"/>
  <c r="A58" i="2"/>
  <c r="D53" i="2"/>
  <c r="C50" i="2"/>
  <c r="D45" i="2"/>
  <c r="C44" i="2"/>
  <c r="C42" i="2"/>
  <c r="D26" i="2"/>
  <c r="C24" i="2"/>
  <c r="D19" i="2"/>
  <c r="C18" i="2"/>
  <c r="C17" i="2"/>
  <c r="C16" i="2"/>
  <c r="D13" i="2"/>
  <c r="D21" i="2" s="1"/>
  <c r="D28" i="2" s="1"/>
  <c r="D31" i="2" s="1"/>
  <c r="D32" i="2" s="1"/>
  <c r="C12" i="2"/>
  <c r="C11" i="2"/>
  <c r="C10" i="2"/>
  <c r="F182" i="5"/>
  <c r="F181" i="5"/>
  <c r="E178" i="5"/>
  <c r="F177" i="5"/>
  <c r="C18" i="6" s="1"/>
  <c r="F130" i="5"/>
  <c r="F114" i="5"/>
  <c r="C16" i="6" s="1"/>
  <c r="F110" i="5"/>
  <c r="F105" i="5"/>
  <c r="F100" i="5"/>
  <c r="F94" i="5"/>
  <c r="C91" i="5"/>
  <c r="F89" i="5"/>
  <c r="C75" i="6" s="1"/>
  <c r="F84" i="5"/>
  <c r="F80" i="5"/>
  <c r="F79" i="5"/>
  <c r="C68" i="6" s="1"/>
  <c r="F76" i="5"/>
  <c r="C69" i="6" s="1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1" i="5"/>
  <c r="C31" i="5"/>
  <c r="F30" i="5"/>
  <c r="C52" i="6" s="1"/>
  <c r="F17" i="5"/>
  <c r="C50" i="6" s="1"/>
  <c r="F10" i="5"/>
  <c r="C49" i="6" s="1"/>
  <c r="F9" i="5"/>
  <c r="F8" i="5"/>
  <c r="F6" i="5"/>
  <c r="C43" i="6" s="1"/>
  <c r="F3" i="5"/>
  <c r="D115" i="7"/>
  <c r="C115" i="7"/>
  <c r="C120" i="7" s="1"/>
  <c r="E113" i="7"/>
  <c r="E112" i="7"/>
  <c r="E115" i="7" s="1"/>
  <c r="D101" i="7"/>
  <c r="D94" i="7"/>
  <c r="D84" i="7"/>
  <c r="D60" i="7"/>
  <c r="C43" i="7"/>
  <c r="C42" i="7"/>
  <c r="C41" i="7"/>
  <c r="C40" i="7"/>
  <c r="D74" i="6"/>
  <c r="C74" i="6"/>
  <c r="D73" i="6"/>
  <c r="C73" i="6"/>
  <c r="D69" i="6"/>
  <c r="D70" i="6" s="1"/>
  <c r="D61" i="6"/>
  <c r="C61" i="6"/>
  <c r="A58" i="6"/>
  <c r="D53" i="6"/>
  <c r="C51" i="6"/>
  <c r="C48" i="6"/>
  <c r="D45" i="6"/>
  <c r="D55" i="6" s="1"/>
  <c r="C44" i="6"/>
  <c r="C42" i="6"/>
  <c r="C25" i="6"/>
  <c r="C24" i="6"/>
  <c r="C26" i="6" s="1"/>
  <c r="C17" i="6"/>
  <c r="C12" i="6"/>
  <c r="C11" i="6"/>
  <c r="C10" i="6"/>
  <c r="C9" i="6"/>
  <c r="F210" i="10"/>
  <c r="G207" i="10"/>
  <c r="F202" i="10"/>
  <c r="F153" i="10"/>
  <c r="G153" i="10" s="1"/>
  <c r="G134" i="10"/>
  <c r="F118" i="10"/>
  <c r="C12" i="8"/>
  <c r="G112" i="10"/>
  <c r="G107" i="10"/>
  <c r="G102" i="10"/>
  <c r="G89" i="10"/>
  <c r="G87" i="10"/>
  <c r="G84" i="10"/>
  <c r="G83" i="10"/>
  <c r="G72" i="10"/>
  <c r="H80" i="10" s="1"/>
  <c r="G33" i="10"/>
  <c r="C51" i="8"/>
  <c r="G11" i="10"/>
  <c r="F7" i="10"/>
  <c r="F34" i="10" s="1"/>
  <c r="G6" i="10"/>
  <c r="G3" i="10"/>
  <c r="D133" i="9"/>
  <c r="C131" i="9"/>
  <c r="E131" i="9" s="1"/>
  <c r="C130" i="9"/>
  <c r="E130" i="9" s="1"/>
  <c r="D119" i="9"/>
  <c r="D112" i="9"/>
  <c r="D106" i="9"/>
  <c r="D99" i="9"/>
  <c r="D101" i="9" s="1"/>
  <c r="D91" i="9"/>
  <c r="D60" i="9"/>
  <c r="C42" i="9"/>
  <c r="C41" i="9"/>
  <c r="C40" i="9"/>
  <c r="C39" i="9"/>
  <c r="D61" i="8"/>
  <c r="C61" i="8"/>
  <c r="A58" i="8"/>
  <c r="C50" i="8"/>
  <c r="C10" i="8"/>
  <c r="C13" i="2" l="1"/>
  <c r="F72" i="5"/>
  <c r="C63" i="6" s="1"/>
  <c r="C19" i="2"/>
  <c r="D78" i="2"/>
  <c r="I85" i="3"/>
  <c r="C76" i="2"/>
  <c r="C119" i="4"/>
  <c r="C124" i="4" s="1"/>
  <c r="G191" i="3"/>
  <c r="D75" i="6"/>
  <c r="E110" i="3"/>
  <c r="C44" i="7"/>
  <c r="C53" i="6"/>
  <c r="C45" i="2"/>
  <c r="E86" i="3"/>
  <c r="C18" i="8"/>
  <c r="C26" i="8"/>
  <c r="C68" i="8"/>
  <c r="C69" i="11"/>
  <c r="C25" i="8"/>
  <c r="C27" i="8" s="1"/>
  <c r="C27" i="11"/>
  <c r="C73" i="8"/>
  <c r="C52" i="8"/>
  <c r="C52" i="11"/>
  <c r="C44" i="8"/>
  <c r="C9" i="8"/>
  <c r="C75" i="8"/>
  <c r="C11" i="8"/>
  <c r="C74" i="8"/>
  <c r="H33" i="10"/>
  <c r="G10" i="10"/>
  <c r="H95" i="10"/>
  <c r="H96" i="10" s="1"/>
  <c r="C45" i="6"/>
  <c r="F204" i="10"/>
  <c r="G204" i="10" s="1"/>
  <c r="C20" i="11" s="1"/>
  <c r="C70" i="6"/>
  <c r="C69" i="8"/>
  <c r="G110" i="5"/>
  <c r="I7" i="3"/>
  <c r="C43" i="4"/>
  <c r="H118" i="10"/>
  <c r="C13" i="6"/>
  <c r="D63" i="6"/>
  <c r="D55" i="2"/>
  <c r="C26" i="2"/>
  <c r="C19" i="6"/>
  <c r="I26" i="3"/>
  <c r="E26" i="3"/>
  <c r="D186" i="3"/>
  <c r="D76" i="6"/>
  <c r="H186" i="3"/>
  <c r="C43" i="8"/>
  <c r="C76" i="6"/>
  <c r="G30" i="5"/>
  <c r="C43" i="9"/>
  <c r="E133" i="9"/>
  <c r="C16" i="8"/>
  <c r="C44" i="4"/>
  <c r="C49" i="8"/>
  <c r="C63" i="8"/>
  <c r="C133" i="9"/>
  <c r="C138" i="9" s="1"/>
  <c r="G8" i="5"/>
  <c r="G182" i="5"/>
  <c r="C49" i="2"/>
  <c r="C53" i="2" s="1"/>
  <c r="E116" i="4"/>
  <c r="E119" i="4" s="1"/>
  <c r="D67" i="3"/>
  <c r="E67" i="3" s="1"/>
  <c r="I67" i="3"/>
  <c r="J85" i="3" s="1"/>
  <c r="I110" i="3"/>
  <c r="G89" i="5"/>
  <c r="D43" i="4"/>
  <c r="D44" i="4" s="1"/>
  <c r="E7" i="3"/>
  <c r="C55" i="2" l="1"/>
  <c r="C21" i="2"/>
  <c r="C28" i="2" s="1"/>
  <c r="C31" i="2" s="1"/>
  <c r="C32" i="2" s="1"/>
  <c r="C55" i="6"/>
  <c r="H209" i="10"/>
  <c r="C76" i="8"/>
  <c r="C70" i="8"/>
  <c r="C53" i="8"/>
  <c r="C13" i="8"/>
  <c r="C75" i="11"/>
  <c r="C13" i="11"/>
  <c r="C22" i="11" s="1"/>
  <c r="C29" i="11" s="1"/>
  <c r="C45" i="8"/>
  <c r="C46" i="8" s="1"/>
  <c r="C45" i="11"/>
  <c r="C54" i="11" s="1"/>
  <c r="H10" i="10"/>
  <c r="H34" i="10" s="1"/>
  <c r="C19" i="8"/>
  <c r="C20" i="8" s="1"/>
  <c r="F26" i="3"/>
  <c r="C21" i="6"/>
  <c r="C28" i="6" s="1"/>
  <c r="C31" i="6" s="1"/>
  <c r="C32" i="6" s="1"/>
  <c r="J26" i="3"/>
  <c r="H182" i="5"/>
  <c r="D185" i="5" s="1"/>
  <c r="H30" i="5"/>
  <c r="F86" i="3"/>
  <c r="F67" i="3"/>
  <c r="E122" i="4"/>
  <c r="D122" i="4" s="1"/>
  <c r="D124" i="4" s="1"/>
  <c r="C64" i="2"/>
  <c r="C65" i="2" s="1"/>
  <c r="C78" i="2" s="1"/>
  <c r="D64" i="6"/>
  <c r="D65" i="6" s="1"/>
  <c r="D78" i="6" s="1"/>
  <c r="C22" i="8" l="1"/>
  <c r="C29" i="8" s="1"/>
  <c r="C32" i="8" s="1"/>
  <c r="C33" i="8" s="1"/>
  <c r="D118" i="7"/>
  <c r="E73" i="5"/>
  <c r="F70" i="5" s="1"/>
  <c r="C55" i="8"/>
  <c r="C80" i="10"/>
  <c r="F96" i="10"/>
  <c r="D136" i="9"/>
  <c r="D138" i="9" s="1"/>
  <c r="C32" i="11"/>
  <c r="C33" i="11" s="1"/>
  <c r="E124" i="4"/>
  <c r="C65" i="8"/>
  <c r="C78" i="8" s="1"/>
  <c r="E118" i="7"/>
  <c r="E120" i="7" s="1"/>
  <c r="D120" i="7"/>
  <c r="G72" i="5"/>
  <c r="H89" i="5" s="1"/>
  <c r="C64" i="6"/>
  <c r="C65" i="6" s="1"/>
  <c r="C78" i="6" s="1"/>
  <c r="E136" i="9" l="1"/>
  <c r="E138" i="9" s="1"/>
  <c r="C96" i="10"/>
  <c r="D80" i="10"/>
  <c r="C63" i="11" l="1"/>
  <c r="I77" i="10"/>
  <c r="E80" i="10"/>
  <c r="E96" i="10" s="1"/>
  <c r="C64" i="11"/>
  <c r="C77" i="11" s="1"/>
</calcChain>
</file>

<file path=xl/sharedStrings.xml><?xml version="1.0" encoding="utf-8"?>
<sst xmlns="http://schemas.openxmlformats.org/spreadsheetml/2006/main" count="5299" uniqueCount="1017">
  <si>
    <t>Konto</t>
  </si>
  <si>
    <t>Kontonavn</t>
  </si>
  <si>
    <t>Ingående saldo</t>
  </si>
  <si>
    <t>Bevegelse</t>
  </si>
  <si>
    <t>Utgående saldo</t>
  </si>
  <si>
    <t>1000</t>
  </si>
  <si>
    <t>Utviklingskost. (Aktiverte kostnader)</t>
  </si>
  <si>
    <t>1101</t>
  </si>
  <si>
    <t>OSI- hytta</t>
  </si>
  <si>
    <t>1102</t>
  </si>
  <si>
    <t>KSI- hytta</t>
  </si>
  <si>
    <t>1110</t>
  </si>
  <si>
    <t>Bygninger, akk. avskrivninger</t>
  </si>
  <si>
    <t>1250</t>
  </si>
  <si>
    <t>Inventar</t>
  </si>
  <si>
    <t>1256</t>
  </si>
  <si>
    <t>Utstyr fekting: Leon Paul Equipment Co Ltd. avskr. 6 år</t>
  </si>
  <si>
    <t>1465</t>
  </si>
  <si>
    <t>Varebeholdning</t>
  </si>
  <si>
    <t>1480</t>
  </si>
  <si>
    <t>Forskuddsbetaling til leverandører (vare</t>
  </si>
  <si>
    <t>1510</t>
  </si>
  <si>
    <t>Kundefordringer</t>
  </si>
  <si>
    <t>1516</t>
  </si>
  <si>
    <t>Kx Products AS</t>
  </si>
  <si>
    <t>1520</t>
  </si>
  <si>
    <t>Andre kortsiktige fordringer</t>
  </si>
  <si>
    <t>1530</t>
  </si>
  <si>
    <t>Opptjente ikke fakturerte driftsinntekte</t>
  </si>
  <si>
    <t>1580</t>
  </si>
  <si>
    <t>Avsetning tap på fordringer</t>
  </si>
  <si>
    <t>1700</t>
  </si>
  <si>
    <t>Forskuddsbetalte utgifter</t>
  </si>
  <si>
    <t>1880</t>
  </si>
  <si>
    <t>Warrenwicklund Nordic Hedge I Fonds</t>
  </si>
  <si>
    <t>1910</t>
  </si>
  <si>
    <t>Kasse</t>
  </si>
  <si>
    <t>1930</t>
  </si>
  <si>
    <t>Nordea driftskonto 6094 05 00586</t>
  </si>
  <si>
    <t>1931</t>
  </si>
  <si>
    <t>Nordea: 6094.05.71149 Capoeira</t>
  </si>
  <si>
    <t>1936</t>
  </si>
  <si>
    <t>Nordea Kapitalkto 6094.56.77468</t>
  </si>
  <si>
    <t>1938</t>
  </si>
  <si>
    <t>Nordea 6094.05.71114 Taekwondo</t>
  </si>
  <si>
    <t>1940</t>
  </si>
  <si>
    <t>Nordea Skattetrekk 6094 86 00547</t>
  </si>
  <si>
    <t>1945</t>
  </si>
  <si>
    <t>Nordea 6094.05.71122 Kungfu</t>
  </si>
  <si>
    <t>1946</t>
  </si>
  <si>
    <t>Nordea 6094.56.77948 Fastrentekto m/bonus</t>
  </si>
  <si>
    <t>1952</t>
  </si>
  <si>
    <t>Nordea KSI-hytta 6094 56 19727</t>
  </si>
  <si>
    <t>1962</t>
  </si>
  <si>
    <t>Nordea OSI-hytta 6094 56 43091</t>
  </si>
  <si>
    <t>2001</t>
  </si>
  <si>
    <t>Fri egenkapital 01 Aikido</t>
  </si>
  <si>
    <t>2002</t>
  </si>
  <si>
    <t>Fri egenkapital 02 Badminton</t>
  </si>
  <si>
    <t>2003</t>
  </si>
  <si>
    <t>Fri egenkapital 03 Basketball</t>
  </si>
  <si>
    <t>2004</t>
  </si>
  <si>
    <t>Fri egenkapital 04 Boksing</t>
  </si>
  <si>
    <t>2005</t>
  </si>
  <si>
    <t>Fri egenkapital 05 capoeira</t>
  </si>
  <si>
    <t>2006</t>
  </si>
  <si>
    <t>Fri egenkapital 06 Elvepadling</t>
  </si>
  <si>
    <t>2007</t>
  </si>
  <si>
    <t>Fri egenkapital 07 Fekting</t>
  </si>
  <si>
    <t>2008</t>
  </si>
  <si>
    <t>Fri egenkapital 08 Fjell</t>
  </si>
  <si>
    <t>2009</t>
  </si>
  <si>
    <t>Fri egenkaptial 09 Fotball</t>
  </si>
  <si>
    <t>2010</t>
  </si>
  <si>
    <t>Fri egenkapital 10 Friidrett</t>
  </si>
  <si>
    <t>2011</t>
  </si>
  <si>
    <t>Fri egenkapital 11 Frisbee</t>
  </si>
  <si>
    <t>2012</t>
  </si>
  <si>
    <t>Fri egenkapital 12 Håndball</t>
  </si>
  <si>
    <t>2013</t>
  </si>
  <si>
    <t>Fri egenkapital 13 Innebandy</t>
  </si>
  <si>
    <t>2014</t>
  </si>
  <si>
    <t>Fri egenkapital 14 Judo</t>
  </si>
  <si>
    <t>2015</t>
  </si>
  <si>
    <t>Fri egenkapital 15 Karate</t>
  </si>
  <si>
    <t>2016</t>
  </si>
  <si>
    <t>Fri egenkapital 16 Orientering</t>
  </si>
  <si>
    <t>2017</t>
  </si>
  <si>
    <t>Fri egenkapital 17 Ski</t>
  </si>
  <si>
    <t>2018</t>
  </si>
  <si>
    <t>Fri egenkapital 18 Svømming</t>
  </si>
  <si>
    <t>2019</t>
  </si>
  <si>
    <t>Fri egenkaptital 19 Utmarksykling</t>
  </si>
  <si>
    <t>2020</t>
  </si>
  <si>
    <t>Fri egenkapital 20 Kung Fu</t>
  </si>
  <si>
    <t>2024</t>
  </si>
  <si>
    <t>Fri egenkapital 24 Volleyball</t>
  </si>
  <si>
    <t>2025</t>
  </si>
  <si>
    <t>Fri egenkapital 25 Rugby</t>
  </si>
  <si>
    <t>2026</t>
  </si>
  <si>
    <t>Fri egenkapital 26 Windsurfing</t>
  </si>
  <si>
    <t>2027</t>
  </si>
  <si>
    <t>Fri egenkapital 27 Tennis</t>
  </si>
  <si>
    <t>2028</t>
  </si>
  <si>
    <t>Fri egenkapital 28  Alpin</t>
  </si>
  <si>
    <t>2029</t>
  </si>
  <si>
    <t>Fri egenkapital 29 Kendo</t>
  </si>
  <si>
    <t>2030</t>
  </si>
  <si>
    <t>Fri egenkapital 30 Jujutsu</t>
  </si>
  <si>
    <t>2031</t>
  </si>
  <si>
    <t>Fri egenkapital 31  Klatring</t>
  </si>
  <si>
    <t>2032</t>
  </si>
  <si>
    <t>Fri egenkapital 32 Taekwondo</t>
  </si>
  <si>
    <t>2034</t>
  </si>
  <si>
    <t>Fri egenkapital 34 Squash</t>
  </si>
  <si>
    <t>2035</t>
  </si>
  <si>
    <t>Fri egenkapital 35 Dykking</t>
  </si>
  <si>
    <t>2036</t>
  </si>
  <si>
    <t>Fri egenakptal 36 Kubb</t>
  </si>
  <si>
    <t>2037</t>
  </si>
  <si>
    <t>Fri egenkapital 37 Swing &amp; Sportsdans</t>
  </si>
  <si>
    <t>2038</t>
  </si>
  <si>
    <t>Fri Egenkapital 38 Doce Pares</t>
  </si>
  <si>
    <t>2040</t>
  </si>
  <si>
    <t>UIK  Fond</t>
  </si>
  <si>
    <t>2041</t>
  </si>
  <si>
    <t>Kartfond</t>
  </si>
  <si>
    <t>2045</t>
  </si>
  <si>
    <t>Fri egenkapital 45 Friluftstreffet</t>
  </si>
  <si>
    <t>2050</t>
  </si>
  <si>
    <t>Egenkapital  OSI</t>
  </si>
  <si>
    <t>2055</t>
  </si>
  <si>
    <t>Fri egenkapital  55 Hovedstyre</t>
  </si>
  <si>
    <t>2070</t>
  </si>
  <si>
    <t>Fri egenkapital 70 KSI-hytta</t>
  </si>
  <si>
    <t>2080</t>
  </si>
  <si>
    <t>Fri egenkapital 80 OSI-hytta</t>
  </si>
  <si>
    <t>2192</t>
  </si>
  <si>
    <t>Nøkkeldepositum</t>
  </si>
  <si>
    <t>2240</t>
  </si>
  <si>
    <t>Pantelån SiO (OSI-hytta)</t>
  </si>
  <si>
    <t>2241</t>
  </si>
  <si>
    <t>Pantelån UiO (OSI-hytta)</t>
  </si>
  <si>
    <t>2410</t>
  </si>
  <si>
    <t>Leverandørgjeld</t>
  </si>
  <si>
    <t>2425</t>
  </si>
  <si>
    <t>Annen kortsiktig gjeld</t>
  </si>
  <si>
    <t>2442</t>
  </si>
  <si>
    <t>Panteobligasjon OSI (OSI-hytta)</t>
  </si>
  <si>
    <t>2443</t>
  </si>
  <si>
    <t>Pantelån SiO (KSI-hytta)</t>
  </si>
  <si>
    <t>2444</t>
  </si>
  <si>
    <t>Panteobligasjon OSI (KSI-hytta)</t>
  </si>
  <si>
    <t>2600</t>
  </si>
  <si>
    <t>Forskuddstrekk/bruk 2610</t>
  </si>
  <si>
    <t>2610</t>
  </si>
  <si>
    <t>Skattetrekk</t>
  </si>
  <si>
    <t>2710</t>
  </si>
  <si>
    <t>Utgående merverdiavgift</t>
  </si>
  <si>
    <t>2780</t>
  </si>
  <si>
    <t>Skyldig arbeidsgiveravgift</t>
  </si>
  <si>
    <t>2781</t>
  </si>
  <si>
    <t>Arb.giv.avg. pål. feriep.</t>
  </si>
  <si>
    <t>2900</t>
  </si>
  <si>
    <t>Forskudd fra medlemmer</t>
  </si>
  <si>
    <t>2910</t>
  </si>
  <si>
    <t>Skyldig lønn nr 1</t>
  </si>
  <si>
    <t>2920</t>
  </si>
  <si>
    <t>Skyldig feriepenger</t>
  </si>
  <si>
    <t>2940</t>
  </si>
  <si>
    <t>Regnskapsmessige avsetninger</t>
  </si>
  <si>
    <t>2960</t>
  </si>
  <si>
    <t>Påløpte kostn. og forskuddsbet. inskudd</t>
  </si>
  <si>
    <t>2961</t>
  </si>
  <si>
    <t>Avsatte kostnader år 2013</t>
  </si>
  <si>
    <t>3110</t>
  </si>
  <si>
    <t>Salg materiell</t>
  </si>
  <si>
    <t>3120</t>
  </si>
  <si>
    <t>Sponsorinntekter</t>
  </si>
  <si>
    <t>3190</t>
  </si>
  <si>
    <t>Opptjente, ikke fakturert inntekt</t>
  </si>
  <si>
    <t>3400</t>
  </si>
  <si>
    <t>Tilskudd fra Studentsamskipnaden i Oslo</t>
  </si>
  <si>
    <t>3430</t>
  </si>
  <si>
    <t>Tilskudd fra NIF (kto. 2001 )</t>
  </si>
  <si>
    <t>3440</t>
  </si>
  <si>
    <t>Tilskudd fra NIF,krets og forbund</t>
  </si>
  <si>
    <t>3460</t>
  </si>
  <si>
    <t>Tilskudd fra Særkrets (kto. 2001)</t>
  </si>
  <si>
    <t>3480</t>
  </si>
  <si>
    <t>Tildelt gruppebevilgning</t>
  </si>
  <si>
    <t>3485</t>
  </si>
  <si>
    <t>Bevilgning utstyr/aktivitetsstøtte</t>
  </si>
  <si>
    <t>3490</t>
  </si>
  <si>
    <t>Andre tilskudd</t>
  </si>
  <si>
    <t>3610</t>
  </si>
  <si>
    <t>Leieinntekter Studenter/KSI-hytta</t>
  </si>
  <si>
    <t>3630</t>
  </si>
  <si>
    <t>Leieinntekter gruppeutstyr</t>
  </si>
  <si>
    <t>3900</t>
  </si>
  <si>
    <t>Andre driftsrelaterte inntekter ( kto. 2001)</t>
  </si>
  <si>
    <t>3910</t>
  </si>
  <si>
    <t>OSI kontingent vår</t>
  </si>
  <si>
    <t>3915</t>
  </si>
  <si>
    <t>OSI kontingent høst</t>
  </si>
  <si>
    <t>3920</t>
  </si>
  <si>
    <t>Medlemskontigent vår</t>
  </si>
  <si>
    <t>3925</t>
  </si>
  <si>
    <t>Medlemskontingent høst</t>
  </si>
  <si>
    <t>3930</t>
  </si>
  <si>
    <t>Lisenser</t>
  </si>
  <si>
    <t>3940</t>
  </si>
  <si>
    <t>Kursavgifter</t>
  </si>
  <si>
    <t>3950</t>
  </si>
  <si>
    <t>Egenandeler</t>
  </si>
  <si>
    <t>3960</t>
  </si>
  <si>
    <t>Stevneinntekter</t>
  </si>
  <si>
    <t>3970</t>
  </si>
  <si>
    <t>Dugnadsinntekter</t>
  </si>
  <si>
    <t>3990</t>
  </si>
  <si>
    <t>Andre inntekter</t>
  </si>
  <si>
    <t>4170</t>
  </si>
  <si>
    <t>Frakt, toll og spedisjon, avgiftsfritt (kto. 2001)</t>
  </si>
  <si>
    <t>4210</t>
  </si>
  <si>
    <t>Innkjøp av varer</t>
  </si>
  <si>
    <t>5010</t>
  </si>
  <si>
    <t>Faste lønninger</t>
  </si>
  <si>
    <t>5020</t>
  </si>
  <si>
    <t>Lønn (uten AGA)</t>
  </si>
  <si>
    <t>5190</t>
  </si>
  <si>
    <t>Påløpne feriepenger</t>
  </si>
  <si>
    <t>5410</t>
  </si>
  <si>
    <t>Arbeidsgiveravgift</t>
  </si>
  <si>
    <t>5411</t>
  </si>
  <si>
    <t>5430</t>
  </si>
  <si>
    <t>Premie pensjonsordning</t>
  </si>
  <si>
    <t>5500</t>
  </si>
  <si>
    <t>Frivillig arbeid/dugnadsinnsats</t>
  </si>
  <si>
    <t>5510</t>
  </si>
  <si>
    <t>Overtidsmat etter regning (kto. 2001)</t>
  </si>
  <si>
    <t>5900</t>
  </si>
  <si>
    <t>Gaver til ansatte</t>
  </si>
  <si>
    <t>5945</t>
  </si>
  <si>
    <t>OTP: Avt. ILI2077 SpareBank 1 Livsforsikring</t>
  </si>
  <si>
    <t>5990</t>
  </si>
  <si>
    <t>Godtgjørelse styremedl./instruktører/tur-kontaktansvarlige</t>
  </si>
  <si>
    <t>6050</t>
  </si>
  <si>
    <t>Avskrivninger</t>
  </si>
  <si>
    <t>6300</t>
  </si>
  <si>
    <t>Leie lokaler</t>
  </si>
  <si>
    <t>6320</t>
  </si>
  <si>
    <t>Renovasjon, vann, avløp mv.</t>
  </si>
  <si>
    <t>6340</t>
  </si>
  <si>
    <t>Lys, varme</t>
  </si>
  <si>
    <t>6360</t>
  </si>
  <si>
    <t>Renhold</t>
  </si>
  <si>
    <t>6390</t>
  </si>
  <si>
    <t>Andre kontorkostnader</t>
  </si>
  <si>
    <t>6400</t>
  </si>
  <si>
    <t>Leie maskiner</t>
  </si>
  <si>
    <t>6410</t>
  </si>
  <si>
    <t>Leie</t>
  </si>
  <si>
    <t>6420</t>
  </si>
  <si>
    <t>Leie datautsyr</t>
  </si>
  <si>
    <t>6440</t>
  </si>
  <si>
    <t>Leasing / leie biler</t>
  </si>
  <si>
    <t>6550</t>
  </si>
  <si>
    <t>Driftsmaterialer</t>
  </si>
  <si>
    <t>6560</t>
  </si>
  <si>
    <t>Rekvisita (kto. 2001)</t>
  </si>
  <si>
    <t>6570</t>
  </si>
  <si>
    <t>Programvare, serve- ogdomeneleie etc</t>
  </si>
  <si>
    <t>6600</t>
  </si>
  <si>
    <t>Reparasjoner og vedlikehold bygninger</t>
  </si>
  <si>
    <t>6620</t>
  </si>
  <si>
    <t>Reparasjoner og vedlikehold utstyr</t>
  </si>
  <si>
    <t>6700</t>
  </si>
  <si>
    <t>Revisjonshonorar</t>
  </si>
  <si>
    <t>6730</t>
  </si>
  <si>
    <t>Idrettsfaglig bistand</t>
  </si>
  <si>
    <t>6740</t>
  </si>
  <si>
    <t>Dommerhonorar</t>
  </si>
  <si>
    <t>6780</t>
  </si>
  <si>
    <t>Lønn selvstendig næringsdrivende</t>
  </si>
  <si>
    <t>6790</t>
  </si>
  <si>
    <t>Andre fremmedtjenester</t>
  </si>
  <si>
    <t>6800</t>
  </si>
  <si>
    <t>Kontorrekvisita</t>
  </si>
  <si>
    <t>6810</t>
  </si>
  <si>
    <t>Kopiering</t>
  </si>
  <si>
    <t>6820</t>
  </si>
  <si>
    <t>Trykksaker</t>
  </si>
  <si>
    <t>6840</t>
  </si>
  <si>
    <t>Aviser, tidsskrifter, bøker mv.</t>
  </si>
  <si>
    <t>6860</t>
  </si>
  <si>
    <t>Kurs, oppdatering mv.</t>
  </si>
  <si>
    <t>6900</t>
  </si>
  <si>
    <t>Telefon</t>
  </si>
  <si>
    <t>6940</t>
  </si>
  <si>
    <t>Porto</t>
  </si>
  <si>
    <t>7000</t>
  </si>
  <si>
    <t>Drivstoff</t>
  </si>
  <si>
    <t>7010</t>
  </si>
  <si>
    <t>Bilgodtgjørelse, etter takst (kto. 2001 )</t>
  </si>
  <si>
    <t>7100</t>
  </si>
  <si>
    <t>Bilgodtgjørelse, oppgavepliktig (kto. 2001)</t>
  </si>
  <si>
    <t>7105</t>
  </si>
  <si>
    <t>Øreavrunding (kto. 2001)</t>
  </si>
  <si>
    <t>7110</t>
  </si>
  <si>
    <t>Passasjergodtgjørelse</t>
  </si>
  <si>
    <t>7160</t>
  </si>
  <si>
    <t>Reise etter regning</t>
  </si>
  <si>
    <t>7170</t>
  </si>
  <si>
    <t>Opphold etter regning</t>
  </si>
  <si>
    <t>7180</t>
  </si>
  <si>
    <t>Bevertning etter regning</t>
  </si>
  <si>
    <t>7190</t>
  </si>
  <si>
    <t>Heiskort  o.l.</t>
  </si>
  <si>
    <t>7210</t>
  </si>
  <si>
    <t>Provisjonskostnader, ikke oppgavepliktig (kto. 2001)</t>
  </si>
  <si>
    <t>7320</t>
  </si>
  <si>
    <t>Reklamekostnader</t>
  </si>
  <si>
    <t>7410</t>
  </si>
  <si>
    <t>Kontingent og lisens</t>
  </si>
  <si>
    <t>7420</t>
  </si>
  <si>
    <t>Gaver, premier</t>
  </si>
  <si>
    <t>7440</t>
  </si>
  <si>
    <t>Startkontingenter (kto. 2001)</t>
  </si>
  <si>
    <t>7460</t>
  </si>
  <si>
    <t>Kurskontingenter / leiravgift (kto. 2001)</t>
  </si>
  <si>
    <t>7500</t>
  </si>
  <si>
    <t>Forsikringspremier (driften)</t>
  </si>
  <si>
    <t>7510</t>
  </si>
  <si>
    <t>Medlemsforsikring</t>
  </si>
  <si>
    <t>7720</t>
  </si>
  <si>
    <t>Leie idrettsanlegg</t>
  </si>
  <si>
    <t>7770</t>
  </si>
  <si>
    <t>Bank og kortgebyrer</t>
  </si>
  <si>
    <t>7790</t>
  </si>
  <si>
    <t>Andre kostnader</t>
  </si>
  <si>
    <t>7791</t>
  </si>
  <si>
    <t>Avsatte påløpte kostnader 2013</t>
  </si>
  <si>
    <t>7792</t>
  </si>
  <si>
    <t>Opprydding hovedbok</t>
  </si>
  <si>
    <t>7830</t>
  </si>
  <si>
    <t>Tap på fordringer</t>
  </si>
  <si>
    <t>8040</t>
  </si>
  <si>
    <t>Renteinntekter</t>
  </si>
  <si>
    <t>8090</t>
  </si>
  <si>
    <t>Andre finansinntekter</t>
  </si>
  <si>
    <t>8140</t>
  </si>
  <si>
    <t>Rentekostnader</t>
  </si>
  <si>
    <t>8150</t>
  </si>
  <si>
    <t>Andre finanskostnader</t>
  </si>
  <si>
    <t>8160</t>
  </si>
  <si>
    <t>Purregebyr. leverandør</t>
  </si>
  <si>
    <t>8960</t>
  </si>
  <si>
    <t>Overføringer annen egenkapital (kto. 2001)</t>
  </si>
  <si>
    <t>8980</t>
  </si>
  <si>
    <t>Avsatt til fri egenkapital (kto. 2001)</t>
  </si>
  <si>
    <t>8990</t>
  </si>
  <si>
    <t>Udekket tap (kto. 2001)</t>
  </si>
  <si>
    <t>Avstemt, se avskr.skjema</t>
  </si>
  <si>
    <t>OK</t>
  </si>
  <si>
    <t>saldo fra 2012, la stå i påvente av dok.</t>
  </si>
  <si>
    <t>se også 1580, stemmer med reskontro</t>
  </si>
  <si>
    <t>Ikke dokumentert, lar saldo stå</t>
  </si>
  <si>
    <t>Se også 1510</t>
  </si>
  <si>
    <t>La stå, mailet kunde</t>
  </si>
  <si>
    <t>OK, solgt i 2014 med liten gevinst</t>
  </si>
  <si>
    <t>Fra 2012, etterspurt ny dokumentasjon fra kunde</t>
  </si>
  <si>
    <t xml:space="preserve">avstemt OK </t>
  </si>
  <si>
    <t>OK, dokumenter</t>
  </si>
  <si>
    <t>avstemt, stemmer med reskontro</t>
  </si>
  <si>
    <t xml:space="preserve"> </t>
  </si>
  <si>
    <t>OK, avstemt</t>
  </si>
  <si>
    <t>Note</t>
  </si>
  <si>
    <t>Resultatregnskap</t>
  </si>
  <si>
    <t>2 0 1 3</t>
  </si>
  <si>
    <t>DRIFSTINNTEKTER</t>
  </si>
  <si>
    <t>1*</t>
  </si>
  <si>
    <t>Sum driftsinntekt</t>
  </si>
  <si>
    <t>DRIFTSKOSTNADER</t>
  </si>
  <si>
    <t>Varekostnad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</si>
  <si>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</si>
  <si>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</si>
  <si>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</si>
  <si>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</si>
  <si>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</si>
  <si>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</si>
  <si>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</si>
  <si>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</si>
  <si>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</si>
  <si>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OVERFØRINGER</t>
  </si>
  <si>
    <t>Overført til annen egenkapital</t>
  </si>
  <si>
    <t>Sum overføringer</t>
  </si>
  <si>
    <t>Balanse</t>
  </si>
  <si>
    <t>EIENDELER</t>
  </si>
  <si>
    <t>Anleggsmidler</t>
  </si>
  <si>
    <t>Tomter, bygninger og annen eiendom</t>
  </si>
  <si>
    <t>Sum anleggsmidler</t>
  </si>
  <si>
    <t>Omløpsmidler</t>
  </si>
  <si>
    <t>Varelager</t>
  </si>
  <si>
    <t>Andre fordringer</t>
  </si>
  <si>
    <t>Bankinnskudd/Kontanter o.l.</t>
  </si>
  <si>
    <t>5*</t>
  </si>
  <si>
    <t>Sum omløpsmidler</t>
  </si>
  <si>
    <t>SUM EIENDELER</t>
  </si>
  <si>
    <t>EGENKAPITAL OG GJELD</t>
  </si>
  <si>
    <t>6*</t>
  </si>
  <si>
    <t>Sum egenkapital</t>
  </si>
  <si>
    <t>Langsiktig gjeld</t>
  </si>
  <si>
    <t>8*</t>
  </si>
  <si>
    <t>Pantelån</t>
  </si>
  <si>
    <t>7*</t>
  </si>
  <si>
    <t>Sum langsiktig gjeld</t>
  </si>
  <si>
    <t>Kortsiktig gjeld</t>
  </si>
  <si>
    <t>Skyldige offentlige avgifter</t>
  </si>
  <si>
    <t>Sum kortsiktig gjeld</t>
  </si>
  <si>
    <t>SUM EGENKAPITAL OG GJELD</t>
  </si>
  <si>
    <t>Styremedlem</t>
  </si>
  <si>
    <t>Resultatregnskap 2013 for Oslostudentenes Idrettsklubb</t>
  </si>
  <si>
    <t>2 0 1 2</t>
  </si>
  <si>
    <t>Samarbeidsavtale SIO</t>
  </si>
  <si>
    <t>Medlemskontingenter og særavgifter</t>
  </si>
  <si>
    <t>Leieinntekter</t>
  </si>
  <si>
    <t>Balanse pr 31.12.2013 for Oslostudentenes Idrettsklubb</t>
  </si>
  <si>
    <t>Oslo, 9. april 2015</t>
  </si>
  <si>
    <t>Utviklingskostnader</t>
  </si>
  <si>
    <t>Driftsløsøre, invetnar o.l.</t>
  </si>
  <si>
    <t>Andre verdipapirer</t>
  </si>
  <si>
    <t>Bundet egenkapital</t>
  </si>
  <si>
    <t>Annen egenkapital</t>
  </si>
  <si>
    <t>Obligasjonslån</t>
  </si>
  <si>
    <t>Sponsorinntekter (kto. 2001)</t>
  </si>
  <si>
    <t>Beholdningsendring</t>
  </si>
  <si>
    <t>Avsetning skyldig lønn</t>
  </si>
  <si>
    <t>Inventar (kto. 2001)</t>
  </si>
  <si>
    <t>Innberetning av selvstendig næringsdrivende</t>
  </si>
  <si>
    <t>Motkonto til kto 6781</t>
  </si>
  <si>
    <t>Inntekter fra interne overføringer</t>
  </si>
  <si>
    <t>Agio tap (kto. 2001)</t>
  </si>
  <si>
    <t>Utbealing andre interne overføringer</t>
  </si>
  <si>
    <t>Innkjøp varer, avgiftsfritt (kto. 2010)</t>
  </si>
  <si>
    <t>Frakt, toll og spedisjon</t>
  </si>
  <si>
    <t>Noter til regnskapet</t>
  </si>
  <si>
    <t>Note 1</t>
  </si>
  <si>
    <t>Regnskapsprinsipper</t>
  </si>
  <si>
    <t xml:space="preserve">Driftsinntekter </t>
  </si>
  <si>
    <t xml:space="preserve">Salgsinntekter inntektsføres i det året de er opptjent. </t>
  </si>
  <si>
    <t>Kontingentinntekter og treningsavgifter inntektsføres når pengene innbetales og ikke ved utfakturering.</t>
  </si>
  <si>
    <t>Varer</t>
  </si>
  <si>
    <t>Fordringer</t>
  </si>
  <si>
    <t>Kundefordringer oppføres til pålydende. Avsetning tap på fordringer gjøres på grunnlag</t>
  </si>
  <si>
    <t>av en individuell vurdering av de enkelte fordringene.</t>
  </si>
  <si>
    <t>Kundefordringer som er oppført gjelder alle faktureringer med unntak av medlems- og treningsavgifter.</t>
  </si>
  <si>
    <t>Kortsiktig gjeld inkluderer avsatte kostnader til ikke mottatte fakturaer.</t>
  </si>
  <si>
    <t>Skatt og avgift</t>
  </si>
  <si>
    <t>Organisasjonen er en allmennyttig organisasjon i skattemessig forstand, og er derfor ikke</t>
  </si>
  <si>
    <t>Note 2</t>
  </si>
  <si>
    <t>Lønnskostnader, ytelser til ledende personer og revisor</t>
  </si>
  <si>
    <t>Lønnskostnader</t>
  </si>
  <si>
    <t>År 2013</t>
  </si>
  <si>
    <t>Lønninger</t>
  </si>
  <si>
    <t>Pensjonskostnader</t>
  </si>
  <si>
    <t>Andre ytelser</t>
  </si>
  <si>
    <t>Sum lønnskostnader</t>
  </si>
  <si>
    <t>Foreningen er pliktig til å ha pensjonsordning ihht. Lov om obligatorisk tjenestepensjon, og har opprettet</t>
  </si>
  <si>
    <t>en ordning for ansatte som tilfredsstiller kravene i loven.</t>
  </si>
  <si>
    <t>Note 3</t>
  </si>
  <si>
    <t>Tomter, bygninger og andre eiendeler</t>
  </si>
  <si>
    <t>Bokført verdi 31.12.2013</t>
  </si>
  <si>
    <t>Tidligere års avskrivninger</t>
  </si>
  <si>
    <t>Årets avskrivninger</t>
  </si>
  <si>
    <t>Note 4</t>
  </si>
  <si>
    <t>Note 5</t>
  </si>
  <si>
    <t>Bundne midler</t>
  </si>
  <si>
    <t>Note 6</t>
  </si>
  <si>
    <t>Egenkapital</t>
  </si>
  <si>
    <t>Note 7</t>
  </si>
  <si>
    <t>Note 8</t>
  </si>
  <si>
    <t>Note 9</t>
  </si>
  <si>
    <t>Antall medlemmer</t>
  </si>
  <si>
    <t>Oslostudentenes Idrettsklubb</t>
  </si>
  <si>
    <t>Noter, år 2013</t>
  </si>
  <si>
    <t>OSI er underlagt bestemmelsene i regnskapsloven ved utarbeidelsen av årsregnskapet.</t>
  </si>
  <si>
    <t>For idrettslag som har under 5 millioner i årlig omsetning, skal kun Regnskaps- og revisjons</t>
  </si>
  <si>
    <t>bestemmelsene for Norges Idrettsforbund følges. OSI hadde i 2012 en omsetning på ca 5,3 mill, mens</t>
  </si>
  <si>
    <t>omsetningen har sunket til ca 4,3 millioner i 2013.</t>
  </si>
  <si>
    <t>Regnskapet er derfor utarbeidet etter tidligere års praksis som legger regnskapslovens bestemmelser</t>
  </si>
  <si>
    <t>til grunn.</t>
  </si>
  <si>
    <t>Varer er vurdert til det laveste av anskaffelseskost og netto salgsverdi. Det presiseres at det ikke er foretatt</t>
  </si>
  <si>
    <t>opptelling av varelager pr 31.12.2013, og historisk regnskapsmessig verdi av varelageret pr 31.12.2012 er</t>
  </si>
  <si>
    <t>lagt til grunn for verdsettelsen også for år 2013.</t>
  </si>
  <si>
    <t>Det er ved avleggelsen av årsregnskapet usikkerhet knyttet til deler av fordringsmassen. Det er tatt høyde</t>
  </si>
  <si>
    <t>for denne usikkerheten ved avleggelsen av årsregnskapet.</t>
  </si>
  <si>
    <t>skattepliktig for sin virksomhet. Virksomheten har heller ikke omsetning som medfører</t>
  </si>
  <si>
    <t>krav til å følge merverdiavgiftslovens bestemmelser.</t>
  </si>
  <si>
    <t>År 2012</t>
  </si>
  <si>
    <t>Lønn til daglig leder utgjorde i 2013 kr 399.077.</t>
  </si>
  <si>
    <t xml:space="preserve">OSI har sysselsatt i gjennomsnitt  1,3 årsverk i 2013 med tillegg av all frivillig innsats. </t>
  </si>
  <si>
    <t>Programvare, servre- og domeneleie etc</t>
  </si>
  <si>
    <t>Totale kostnader til revisor i 2013 var kr 46.275.</t>
  </si>
  <si>
    <t>Bokført verdi 1.1.2013</t>
  </si>
  <si>
    <t xml:space="preserve"> + Ytterligere investeringer i 2013</t>
  </si>
  <si>
    <t xml:space="preserve"> - årets avskrivning</t>
  </si>
  <si>
    <t>Posten gjelder anskaffelse og utvikling av medlemssystemet KX-Systemer. Anskaffelsen avskrives lineært</t>
  </si>
  <si>
    <t>over 5 år.</t>
  </si>
  <si>
    <t>OSI-hytta</t>
  </si>
  <si>
    <t>Hytta er pantsatt med kr 1.000.000 til SiO, og med kr 277.790 som pantelån fra UiO.</t>
  </si>
  <si>
    <t>Videre er det heftelser i form av to stk panteobligasjoner, hver på kr 10.000.</t>
  </si>
  <si>
    <t>Hytta avskrives ikke.</t>
  </si>
  <si>
    <t>KSI-hytta</t>
  </si>
  <si>
    <t>Bygninger, vedlikehold og påkostninger</t>
  </si>
  <si>
    <t>Branndører og branntrapp, anskaffet i år 2011</t>
  </si>
  <si>
    <t>Posten avskrives lineært over 5 år.</t>
  </si>
  <si>
    <t>Hvitevarer til hyttene, opprinnelig anskaffeleskost</t>
  </si>
  <si>
    <t>Fekteutstyr: Leon Paul Equipment</t>
  </si>
  <si>
    <t xml:space="preserve">Anskaffelseskostnad i år </t>
  </si>
  <si>
    <t>årets avskrivninger</t>
  </si>
  <si>
    <t>Posten avskrives til kr 0 innen år 2014.</t>
  </si>
  <si>
    <t>3*</t>
  </si>
  <si>
    <t>4*</t>
  </si>
  <si>
    <t>Driftsløsøre, inventar o.l.</t>
  </si>
  <si>
    <t>Warrenwicklund Nordic Hedge fond, bokført verdi</t>
  </si>
  <si>
    <t xml:space="preserve">Av foreningens innestående midler i bank er kr 110.703 innestående på egen skattetrekkskonto. </t>
  </si>
  <si>
    <t>Tilhørende skatteforpliktelse utgjorde pr 31.12.2013 til sammen kr 6.256.</t>
  </si>
  <si>
    <t xml:space="preserve">Bundet egenkapital </t>
  </si>
  <si>
    <t>UIK Fond</t>
  </si>
  <si>
    <t>Verdi 1.1.2013</t>
  </si>
  <si>
    <t>Verdi pr 31.12.2013</t>
  </si>
  <si>
    <t>Sum bundet egenkapital 31.12</t>
  </si>
  <si>
    <t>Per. endring</t>
  </si>
  <si>
    <t>Sum egenkapital 31.12</t>
  </si>
  <si>
    <t>Per. Endring</t>
  </si>
  <si>
    <t>Idrettsklubben hadde pr 31.12.2013 til sammen 1.566 medlemmer.</t>
  </si>
  <si>
    <t>Styreleder</t>
  </si>
  <si>
    <t>Grupperegnskap</t>
  </si>
  <si>
    <t>Grupperegnskapene er for tidligere år presentert i noteopplysninger. Dette er ikke gjort for regnskapet</t>
  </si>
  <si>
    <t>for år 2013, men den enkelte gruppe har fått oversendt disse regnskapene til intern behandling.</t>
  </si>
  <si>
    <t xml:space="preserve">Det betales ikke avdrag på noen av lånene, og det svares heller ikke renter. </t>
  </si>
  <si>
    <t>Hytta avskrives ikke. Det er et pantelån knyttet til hytten på kr 35.000.</t>
  </si>
  <si>
    <t>Det er ikke utbetalt styrehonorar eller annen godtgjørelse til styremedlemmene i 2013</t>
  </si>
  <si>
    <t>Resultat balansekolonne</t>
  </si>
  <si>
    <t>Kontonr</t>
  </si>
  <si>
    <t>Navn</t>
  </si>
  <si>
    <t>Inngående balanse</t>
  </si>
  <si>
    <t>Bevegelse i perioden</t>
  </si>
  <si>
    <t>Utgående balanse</t>
  </si>
  <si>
    <t>Utviklingskostn.</t>
  </si>
  <si>
    <t>Bygninger, påkost</t>
  </si>
  <si>
    <t>Utstyr fekting: Leon Paul Equipment Co Ltd</t>
  </si>
  <si>
    <t>Kundefordringer innland</t>
  </si>
  <si>
    <t>Avsetning tap på kundefordringer</t>
  </si>
  <si>
    <t>Opptjent, ikke fakturert driftsinntekt</t>
  </si>
  <si>
    <t>Forskudd innbetalinger</t>
  </si>
  <si>
    <t>Andre forskuddsbetalte kostnader</t>
  </si>
  <si>
    <t>DnB 1503.52.02312</t>
  </si>
  <si>
    <t>Nordea 6094.05.00586</t>
  </si>
  <si>
    <t>Nordea 6094.05.71149 Capoeira</t>
  </si>
  <si>
    <t>Nordea 6094.56.77468 Kapitalkonto</t>
  </si>
  <si>
    <t>Nordea skattetrekk 6094.86.00547</t>
  </si>
  <si>
    <t>DnB skattetrekk 1503.52.02320</t>
  </si>
  <si>
    <t>Nordea KSI-hytta 6094.56.19727</t>
  </si>
  <si>
    <t>Nordea OSI-hytta 6094.56.43091</t>
  </si>
  <si>
    <t>Sum kontoklasse 1</t>
  </si>
  <si>
    <t>Fri egenkapital 01 Aikkido</t>
  </si>
  <si>
    <t>Fri egenkapital 09 Fotball</t>
  </si>
  <si>
    <t>Fri egenkapital 19 Utmarksykling</t>
  </si>
  <si>
    <t>Fri egenkapital 28 Alpin</t>
  </si>
  <si>
    <t>Fri egenkapital 31 Klatring</t>
  </si>
  <si>
    <t>Fri egenkapital 36 Kubb</t>
  </si>
  <si>
    <t>Fri egenkapital 37 Swing og Sportsdans</t>
  </si>
  <si>
    <t>Fri egenkapital 38 Doce Pares</t>
  </si>
  <si>
    <t>Fri egenkapital 55 Hovedstyr</t>
  </si>
  <si>
    <t>Periodens resultat</t>
  </si>
  <si>
    <t>Panteobligasjon OSI (OSI hytta)</t>
  </si>
  <si>
    <t>Panteobligasjon OSI (KSI-Hytta)</t>
  </si>
  <si>
    <t>Leverandørgjeld innland</t>
  </si>
  <si>
    <t>Forskuddstrekk</t>
  </si>
  <si>
    <t>Utgående mva høy sats</t>
  </si>
  <si>
    <t>Oppgjørskonto merverdiavgift</t>
  </si>
  <si>
    <t>Påløpt arbeidsgiveravgift på påløpt lønn</t>
  </si>
  <si>
    <t>Skyldig lønn</t>
  </si>
  <si>
    <t>Påløpt kostnad og forskuddsbetalt inntekt</t>
  </si>
  <si>
    <t>Avsatte kostnader 2013</t>
  </si>
  <si>
    <t>Sum kontoklasse 2</t>
  </si>
  <si>
    <t>Tilskudd fra NIF (kto 2001)</t>
  </si>
  <si>
    <t>Tilskudd fra NIF, krets og forbud</t>
  </si>
  <si>
    <t>Leieinntekter studenter/KSI-hytta</t>
  </si>
  <si>
    <t>Annen ekstraordinære inntekter</t>
  </si>
  <si>
    <t>OSI kontingent</t>
  </si>
  <si>
    <t>Medlemskontingent</t>
  </si>
  <si>
    <t>Sum kontoklasse 3</t>
  </si>
  <si>
    <t>Fremmedytelse og underentreprise</t>
  </si>
  <si>
    <t>Sum kontoklasse 4</t>
  </si>
  <si>
    <t>Lønn ansatte</t>
  </si>
  <si>
    <t>Div lønn u/FP</t>
  </si>
  <si>
    <t>Lønn u/AGA og FP</t>
  </si>
  <si>
    <t>Feriepenger</t>
  </si>
  <si>
    <t>Koll.pensjonsforsikring</t>
  </si>
  <si>
    <t>EKOM arb taker abonnement</t>
  </si>
  <si>
    <t>Motkonto for gruppe 52</t>
  </si>
  <si>
    <t>Godtgjørelse til dommere</t>
  </si>
  <si>
    <t>Godtgjørelse selvstendig næringsdrivende</t>
  </si>
  <si>
    <t>Arbeidsgiveravgift av påløpt ferielønn</t>
  </si>
  <si>
    <t>Annen kostnadsgodtgjorelse</t>
  </si>
  <si>
    <t>OTP</t>
  </si>
  <si>
    <t>Annen personalkostnad</t>
  </si>
  <si>
    <t>Sum kontoklasse 5</t>
  </si>
  <si>
    <t>Toll og spedisjonskostnad ved vareforsendelse</t>
  </si>
  <si>
    <t>Renovasjon, vann, avlop og lignende</t>
  </si>
  <si>
    <t>Annen kostnad lokaler</t>
  </si>
  <si>
    <t>Leie inventar</t>
  </si>
  <si>
    <t>Leie datasystemer</t>
  </si>
  <si>
    <t>Motordrevet verktøy</t>
  </si>
  <si>
    <t>Driftsmateriale</t>
  </si>
  <si>
    <t>Reparasjon og vedlikehold bygninger</t>
  </si>
  <si>
    <t>Reparasjon og vedlikehold utstyr</t>
  </si>
  <si>
    <t>Honorar revisjon</t>
  </si>
  <si>
    <t>Honorar regnskap</t>
  </si>
  <si>
    <t>Annen fremmed tjeneste</t>
  </si>
  <si>
    <t>Data/EDB-kostnad</t>
  </si>
  <si>
    <t>Programvare, servere- og domene osv</t>
  </si>
  <si>
    <t>Trykksak</t>
  </si>
  <si>
    <t>Aviser, tidsskrifter, bøker</t>
  </si>
  <si>
    <t>Møte, kurs, oppdatering</t>
  </si>
  <si>
    <t>Bilgodtgjørelse, oppgavepliktig</t>
  </si>
  <si>
    <t>Heistkort o.l.</t>
  </si>
  <si>
    <t>Reklamekostnad</t>
  </si>
  <si>
    <t>Representasjon, fradragsberettiget</t>
  </si>
  <si>
    <t>Representasjon, ikke fradragsberettiget</t>
  </si>
  <si>
    <t>Gave, fradragsberettiget</t>
  </si>
  <si>
    <t>Gave, ikke fradragsberettiget</t>
  </si>
  <si>
    <t>Forsikringspremie</t>
  </si>
  <si>
    <t>Styre- og bedriftsforsamlingsmøter</t>
  </si>
  <si>
    <t>Øredifferanser</t>
  </si>
  <si>
    <t>Bank- og kortgebyr</t>
  </si>
  <si>
    <t>Annen kostnad, fradragsberettiget</t>
  </si>
  <si>
    <t>Konstaterte tap på fordringer</t>
  </si>
  <si>
    <t>Annen renteinntekt</t>
  </si>
  <si>
    <t>Renter leverandører</t>
  </si>
  <si>
    <t>Sum kontoklasse 8</t>
  </si>
  <si>
    <t>Resultat, underskudd</t>
  </si>
  <si>
    <t>Resultatregnskap 2014 for Oslostudentenes Idrettsklubb</t>
  </si>
  <si>
    <t>2 0 1 4</t>
  </si>
  <si>
    <t>Balanse pr 31.12.2014 for Oslostudentenes Idrettsklubb</t>
  </si>
  <si>
    <t>Noter, år 2014</t>
  </si>
  <si>
    <t>År 2014</t>
  </si>
  <si>
    <t>Verdi 1.1.2014</t>
  </si>
  <si>
    <t>Verdi pr 31.12.2014</t>
  </si>
  <si>
    <t>Bokført verdi 31.12.2014</t>
  </si>
  <si>
    <t xml:space="preserve">OSI har sysselsatt i gjennomsnitt  1 årsverk i 2014 med tillegg av all frivillig innsats. </t>
  </si>
  <si>
    <t>Det er ikke utbetalt styrehonorar eller annen godtgjørelse til styremedlemmene i 2014</t>
  </si>
  <si>
    <t>Totale kostnader til revisor i 2014 var kr 19.800.</t>
  </si>
  <si>
    <t>Sum kontoklasse 6 og 7</t>
  </si>
  <si>
    <t>bestemmelsene for Norges Idrettsforbund følges. OSI hadde i 2013 en omsetning på ca 4,3 mill, mens</t>
  </si>
  <si>
    <t>omsetningen har økt til ca 4,8 millioner i 2014.</t>
  </si>
  <si>
    <t>som legger regnskapslovens bestemmelser til grunn.</t>
  </si>
  <si>
    <t xml:space="preserve">Da omsetningen tidligere år har vært over 5 mill, er regnskapet utarbeidet etter tidligere års praksis </t>
  </si>
  <si>
    <t>opptelling av varelager siden 31.12.2012, og historisk regnskapsmessig verdi av varelageret pr 31.12.2012 er</t>
  </si>
  <si>
    <t>lagt til grunn for verdsettelsen også for år 2014.</t>
  </si>
  <si>
    <t>for år 2014, men den enkelte gruppe har fått oversendt disse regnskapene til intern behandling.</t>
  </si>
  <si>
    <t>Lønn til daglig leder utgjorde i 2014 kr 105.297 som ble ansatt høsten 2014.</t>
  </si>
  <si>
    <t>Det bemerkes spesielt at utbetaling til dommere tidligere ble behandlet som en ordinær</t>
  </si>
  <si>
    <t>driftskostnad, fra 2014 behandles dette som en lønnskostnad i henhold til gjeldnede praksis.</t>
  </si>
  <si>
    <t>Bokført verdi 1.1.2014</t>
  </si>
  <si>
    <t xml:space="preserve">Av foreningens innestående midler i bank er kr 96.775 innestående på egen skattetrekkskonto. </t>
  </si>
  <si>
    <t>Tilhørende skatteforpliktelse utgjorde pr 31.12.2014 til sammen kr 15.658</t>
  </si>
  <si>
    <t>Idrettsklubben hadde pr 31.12.2014 til sammen ______ medlemmer.</t>
  </si>
  <si>
    <t>Resultatregnskap 2015 for Oslostudentenes Idrettsklubb</t>
  </si>
  <si>
    <t>Balanse pr 31.12.2015 for Oslostudentenes Idrettsklubb</t>
  </si>
  <si>
    <t>2 0 1 5</t>
  </si>
  <si>
    <t>Oslo, ____. februar 2016</t>
  </si>
  <si>
    <t>Noter, år 2015</t>
  </si>
  <si>
    <t>År 2015</t>
  </si>
  <si>
    <t>Bokført verdi 1.1.2015</t>
  </si>
  <si>
    <t>Bokført verdi 31.12.2015</t>
  </si>
  <si>
    <t>Tilhørende skatteforpliktelse utgjorde pr 31.12.2015 til sammen kr 15.658</t>
  </si>
  <si>
    <t>Verdi 1.1.2015</t>
  </si>
  <si>
    <t>Verdi pr 31.12.2015</t>
  </si>
  <si>
    <t xml:space="preserve">OSI har sysselsatt i gjennomsnitt  1 årsverk i 2015 med tillegg av all frivillig innsats. </t>
  </si>
  <si>
    <t>Det er ikke utbetalt styrehonorar eller annen godtgjørelse til styremedlemmene i 2015</t>
  </si>
  <si>
    <t xml:space="preserve">Varer er vurdert til det laveste av anskaffelseskost og netto salgsverdi. </t>
  </si>
  <si>
    <t>Det er ved regnskapsavleggelsen avlagt grupperegnskap som er oversendt den enkelte gruppe.</t>
  </si>
  <si>
    <t xml:space="preserve">Det er enkelte justeringer i 2015 som gjelder tidligere år, og regnskapet til den enkelte gruppe må </t>
  </si>
  <si>
    <t>derfor leses med dette forbehold.</t>
  </si>
  <si>
    <t>Hovedbokssaldo</t>
  </si>
  <si>
    <t>Ikea kjøkken Studenterhytta</t>
  </si>
  <si>
    <t>Kompressor m/tilleggsutstyr Dykking</t>
  </si>
  <si>
    <t>Nytt sikringsskap Studenterhytta</t>
  </si>
  <si>
    <t>Lønnsforskudd</t>
  </si>
  <si>
    <t>Forskudd medlemmer/kostnader</t>
  </si>
  <si>
    <t>DnB 1503.66.53008, Kampen om Hovedstaden</t>
  </si>
  <si>
    <t>Fri egenkaital 50 Kart</t>
  </si>
  <si>
    <t>Fri egenkapital 90 Veilag</t>
  </si>
  <si>
    <t>Kjøp utstyr for videresalg</t>
  </si>
  <si>
    <t>Idrettsmatriell/utstyr til eget bruk</t>
  </si>
  <si>
    <t>Kostnader idrettsanlegg/utstyr</t>
  </si>
  <si>
    <t>Premier</t>
  </si>
  <si>
    <t>Fremmedytelse, innleide instruktører osv</t>
  </si>
  <si>
    <t>Utbetalt til medlemmer</t>
  </si>
  <si>
    <t>Rep/vedl.hold hytter</t>
  </si>
  <si>
    <t>Utgifter skisamlinger/idrettsarr.</t>
  </si>
  <si>
    <t>Sosiale tilstelninger</t>
  </si>
  <si>
    <t>Godtgjorelse til styre- og bedriftsforsamling</t>
  </si>
  <si>
    <t>Refusjon av sykepenger</t>
  </si>
  <si>
    <t>Innber. refu.sykepenger</t>
  </si>
  <si>
    <t>Motkonto innber. refu.sykepenger</t>
  </si>
  <si>
    <t>Reisekostnad, ikke oppgavepliktig</t>
  </si>
  <si>
    <t>Diettkostnad, oppgavepliktig</t>
  </si>
  <si>
    <t>Salgskostnad</t>
  </si>
  <si>
    <t>Kontingent, fradragsberettiget</t>
  </si>
  <si>
    <t>Endring av avsetning tap på fordringer</t>
  </si>
  <si>
    <t>Totale kostnader til revisor i 2015 var kr 79.906,25 som gjelder revisjon av årsregnskap for årene</t>
  </si>
  <si>
    <t>ikke lenger har noen økonomisk verdi.</t>
  </si>
  <si>
    <t>Ikeakjøkken, studenterhytta</t>
  </si>
  <si>
    <t>Kjøkkenet avskrives over 5 år fra oktober 2015.</t>
  </si>
  <si>
    <t>Nytt sikringsskap, studenterhytta</t>
  </si>
  <si>
    <t>Anskaffelseskostnad oktober 2015</t>
  </si>
  <si>
    <t>Anskaffelseskostnad november 2015</t>
  </si>
  <si>
    <t xml:space="preserve"> - årets avskrivninger</t>
  </si>
  <si>
    <t>Skapet avskrives over 5 år fra november 2015.</t>
  </si>
  <si>
    <t>Dykking, kompressor m/tilleggsutstyr</t>
  </si>
  <si>
    <t xml:space="preserve"> - finansiert med tillskudd</t>
  </si>
  <si>
    <t>Avskrives over 5 år fra oktober 2015.</t>
  </si>
  <si>
    <t>bestemmelsene for Norges Idrettsforbund følges. OSI har de siste årene hatt en årlig omsetning</t>
  </si>
  <si>
    <t>Hytta er forsikret for kr 2.708.000</t>
  </si>
  <si>
    <t>Medlemssystemet KX ble skiftet ut høsten 2015, og det er derfor kostnadsført ekstraordinær avskrivning da systemet</t>
  </si>
  <si>
    <t>Lønn til daglig leder utgjorde i 2015 kr 375.303.</t>
  </si>
  <si>
    <t>2013 og 2014 med tillegg av interrimsrevisjon for år 2015 samt andre attestasjoner.</t>
  </si>
  <si>
    <t>OSI-hytta består av flere bygninger der forsikringsverdi er som følger:</t>
  </si>
  <si>
    <t>Restaurant og Bestyrerbolig</t>
  </si>
  <si>
    <t>Familiehytta</t>
  </si>
  <si>
    <t>Uthusbygninger</t>
  </si>
  <si>
    <t>Sum forsikring "OSI-hytta"</t>
  </si>
  <si>
    <t>"OSI Hytta"</t>
  </si>
  <si>
    <t>Idrettsklubben hadde pr 31.12.2015 til sammen 2.312 medlemmer.</t>
  </si>
  <si>
    <t>For idrettslag som har en årlig omsetning som er lavere enn 5 millioner, skal Regnskaps- og revisjons</t>
  </si>
  <si>
    <t xml:space="preserve">som ligger rett under 5 millioner, men siden det fra tidligere perioder ,når foreningens omsetning lå over </t>
  </si>
  <si>
    <t>5 millioner, er anleggsmidler fortsatt aktivert. Prinsippet med aktivering av anleggsmidler er</t>
  </si>
  <si>
    <t>videreført i 2015 der anskaffelser som har en varig verdi er oppført som eiendel og avskrives over forventet</t>
  </si>
  <si>
    <t>levetid. Regnskapslovens bestemmelser er lagt til grunn for avleggelsen av regnskapet.</t>
  </si>
  <si>
    <t>Kostnadsføring av udokumenterte utbetalinger</t>
  </si>
  <si>
    <t xml:space="preserve">I årsregnskapet for år 2014 var det oppført en kortsiktig fordring på kr 195.225. Ved avleggelsen av </t>
  </si>
  <si>
    <t xml:space="preserve">årsregnskapet 31.12.14 ble det gjort vurderinger på en rekke utbetalinger til både leverandører, trenere </t>
  </si>
  <si>
    <t>og medlemmer av OSI, der det ble oppsummert at til sammen kr 195.225 skulle undersøkes nærmere.</t>
  </si>
  <si>
    <t>Det ble samtidig satt av kr 200.000 i regnskapet med fare for tap på fordringer.</t>
  </si>
  <si>
    <t>Styret og administrasjonen har i løpet av 2015 forsøkt å bringe klarhet i hva beløpene som var oppført</t>
  </si>
  <si>
    <t xml:space="preserve">som fordring faktisk er, men har ikke funnet hold i at dette er reelle fordringer. Styret har derofor i </t>
  </si>
  <si>
    <t>styremøte vedtatt at posten kostnadsføres i sin helhet.</t>
  </si>
  <si>
    <t>Fri egenkapital 39 Quidditch</t>
  </si>
  <si>
    <t>Fri egenkapital 99 Kampen om Hovedstaden</t>
  </si>
  <si>
    <t>Resultat 2015, endring av EK</t>
  </si>
  <si>
    <t>IB 01.01.2015</t>
  </si>
  <si>
    <t>EK korreksjon fra tidligere år</t>
  </si>
  <si>
    <t>EK 31.12.15</t>
  </si>
  <si>
    <t>Konto nr.</t>
  </si>
  <si>
    <t>Endring av egenkapital fremkommer som årsresultat for den enkelte gruppe, og er vist i kolonnen "Resultat 2015, endring av EK"</t>
  </si>
  <si>
    <t>SUM</t>
  </si>
  <si>
    <t>3 grupper har vært gjenstand for korreksjoner fra tidligere år hvor endringen er bokført direkte på egenkapitalen. Dette er vist</t>
  </si>
  <si>
    <t>i kolonnen "EK korreksjons fra tidligere år".</t>
  </si>
  <si>
    <t>Forskuddsbetaling til leverandører (varekontakter/prosjekter</t>
  </si>
  <si>
    <t>DnB 1503.77.51259</t>
  </si>
  <si>
    <t>Fri egenkapital 39 Quidditch (Rumpeldunk)</t>
  </si>
  <si>
    <t>Fri Egenkapital 99 Kamp om Hovedstad</t>
  </si>
  <si>
    <t>Salgsinntekt, avgiftsfri</t>
  </si>
  <si>
    <t>Uttak av varer avg.fritt</t>
  </si>
  <si>
    <t>Provisjonsinntekt, avgiftsfri</t>
  </si>
  <si>
    <t>Innkjop av råvarer og halvfabrikataer høy sats</t>
  </si>
  <si>
    <t>Annen periodisering</t>
  </si>
  <si>
    <t>Påløpt, ikke utbetalt lønn</t>
  </si>
  <si>
    <t>Trekkpl Bilgodtgjørelse</t>
  </si>
  <si>
    <t>Leie lokale</t>
  </si>
  <si>
    <t>Leie transportmidler</t>
  </si>
  <si>
    <t>Annen leiekostnad</t>
  </si>
  <si>
    <t>Arbeidsklær og verneutstyr</t>
  </si>
  <si>
    <t>Annet driftsmateriale</t>
  </si>
  <si>
    <t>Drivstoff bil</t>
  </si>
  <si>
    <t>Passasjertillegg</t>
  </si>
  <si>
    <t>Eiendoms- og festeavgift</t>
  </si>
  <si>
    <t>Valutagevinst (agio)</t>
  </si>
  <si>
    <t>Annen rentekostnad</t>
  </si>
  <si>
    <t>Noter, år 2016</t>
  </si>
  <si>
    <t>Resultatregnskap 2016 for Oslostudentenes Idrettsklubb</t>
  </si>
  <si>
    <t xml:space="preserve">   </t>
  </si>
  <si>
    <t>Gave, ikke fradr. IKKE BRUK</t>
  </si>
  <si>
    <t>2 0 1 6</t>
  </si>
  <si>
    <t>Balanse pr 31.12.2016 for Oslostudentenes Idrettsklubb</t>
  </si>
  <si>
    <t>Oslo, ____. mars 2017</t>
  </si>
  <si>
    <t xml:space="preserve">  </t>
  </si>
  <si>
    <t xml:space="preserve">bestemmelsene for Norges Idrettsforbund følges. </t>
  </si>
  <si>
    <t>Anskaffelser som har en varig verdi er oppført som eiendel og avskrives over forventet</t>
  </si>
  <si>
    <t>Kortsiktig gjeld inkluderer avsatte kostnader der fakturaer ikke er mottatt.</t>
  </si>
  <si>
    <t xml:space="preserve">Det er enkelte justeringer i 2016 som gjelder tidligere år, og regnskapet til den enkelte gruppe må </t>
  </si>
  <si>
    <t>År 2016</t>
  </si>
  <si>
    <t xml:space="preserve">OSI har sysselsatt i gjennomsnitt 1 årsverk i 2016 med tillegg av all frivillig innsats. </t>
  </si>
  <si>
    <t>Lønn til daglig leder utgjorde i 2016 kr 405.917.</t>
  </si>
  <si>
    <t>Det er ikke utbetalt styrehonorar eller annen godtgjørelse til styremedlemmer av hovedstyret i 2016.</t>
  </si>
  <si>
    <t>Bokført verdi 31.12.2016</t>
  </si>
  <si>
    <t xml:space="preserve"> - tidligere års avskrifninger</t>
  </si>
  <si>
    <t xml:space="preserve"> - tidligere års avskrivninger</t>
  </si>
  <si>
    <t>Anskaffelseskostnad oktober 2016</t>
  </si>
  <si>
    <t xml:space="preserve">Av foreningens innestående midler i bank er kr 15.862 innestående på egen skattetrekkskonto. </t>
  </si>
  <si>
    <t>Tilhørende skatteforpliktelse utgjorde pr 31.12.2016 til sammen kr 15.862</t>
  </si>
  <si>
    <t>Verdi 1.1.2016</t>
  </si>
  <si>
    <t>Verdi pr 31.12.2016</t>
  </si>
  <si>
    <t>EK 31.12.16</t>
  </si>
  <si>
    <t>IB 01.01.2016</t>
  </si>
  <si>
    <t>Resultat 2016, endring av EK</t>
  </si>
  <si>
    <t>Endring av egenkapital fremkommer som årsresultat for den enkelte gruppe, og er vist i kolonnen "Resultat 2016, endring av EK"</t>
  </si>
  <si>
    <t>Fri egenkapital 19 Utmarksykling og sykkel</t>
  </si>
  <si>
    <t>Å r  2 0 1 5</t>
  </si>
  <si>
    <t>Å r  2 0 1 6</t>
  </si>
  <si>
    <t>UB 31.12</t>
  </si>
  <si>
    <t>2*</t>
  </si>
  <si>
    <t>Sum 1</t>
  </si>
  <si>
    <t>Sum 2</t>
  </si>
  <si>
    <t>Oslostudentenes Idrettsklubb, år 2016</t>
  </si>
  <si>
    <t>Sum eiendeler</t>
  </si>
  <si>
    <t>Sum EK og gjeld</t>
  </si>
  <si>
    <t>Hytta er forsikret for kr 2.797.000</t>
  </si>
  <si>
    <t>Idrettsklubben hadde pr 31.12.2016 til sammen 3.383 medlemmer.</t>
  </si>
  <si>
    <t xml:space="preserve">Totale kostnader til revisor i 2016 var kr 77.094 som gjelder revisjon av årsregnskap for 2015. </t>
  </si>
  <si>
    <t>Av kostnadsført revisjonshonorar gjelder kr 13.875 inkl mva honorar for andre tjenester.</t>
  </si>
  <si>
    <t>Total forsikringsverdi for inventar og løsøre for alle hyttene er kr 1.279.000</t>
  </si>
  <si>
    <t>Å r  2 0 1 7</t>
  </si>
  <si>
    <t>Oslostudentenes Idrettsklubb, år 2017</t>
  </si>
  <si>
    <t>Kontormaskiner</t>
  </si>
  <si>
    <t>Andre kortsiktige lån ansatte</t>
  </si>
  <si>
    <t>DnB 1503.52.02347</t>
  </si>
  <si>
    <t>KSI hytta 1503.62 19944</t>
  </si>
  <si>
    <t>Ikke dokumenterte inntekter</t>
  </si>
  <si>
    <t>Svinn, tap</t>
  </si>
  <si>
    <t>Lønn til ansatte</t>
  </si>
  <si>
    <t>Gave til ansatte, fradragsberettiget</t>
  </si>
  <si>
    <t>Kantinekostnad</t>
  </si>
  <si>
    <t>Avskrivninger på maskiner</t>
  </si>
  <si>
    <t>Frakt, transportkostnad og forsikring ved vareforsendelse</t>
  </si>
  <si>
    <t>Annen kostnad, ikke fradragsberettiget</t>
  </si>
  <si>
    <t>Oslo, ____. mars 2018</t>
  </si>
  <si>
    <t>Resultatregnskap 2017 for Oslostudentenes Idrettsklubb</t>
  </si>
  <si>
    <t>Balanse pr 31.12.2017 for Oslostudentenes Idrettsklubb</t>
  </si>
  <si>
    <t>År 2017</t>
  </si>
  <si>
    <t xml:space="preserve">OSI har sysselsatt i gjennomsnitt 1 årsverk i 2017 med tillegg av all frivillig innsats. </t>
  </si>
  <si>
    <t>Av kostnadsført revisjonshonorar gjelder kr 10.750 inkl mva honorar for andre tjenester.</t>
  </si>
  <si>
    <t>Lønn til daglig leder utgjorde i 2017 kr 440.726.</t>
  </si>
  <si>
    <t>Det er utbetalt kr 1.000 i styrehonorar eller annen godtgjørelse til styremedlemmer av hovedstyret i 2017.</t>
  </si>
  <si>
    <t xml:space="preserve">Totale kostnader til revisor i 2017 var kr 95.006 som gjelder revisjon av årsregnskap for 2016. </t>
  </si>
  <si>
    <t>Bokført verdi 31.12.2017</t>
  </si>
  <si>
    <t>Dataprogram, Idrettenonline, Block AS</t>
  </si>
  <si>
    <t>Anskaffelseskostnad august 2017</t>
  </si>
  <si>
    <t>Avskrives over 3 år fra september 2017.</t>
  </si>
  <si>
    <t xml:space="preserve">Av foreningens innestående midler i bank er kr 22.029 innestående på egen skattetrekkskonto. </t>
  </si>
  <si>
    <t>Tilhørende skatteforpliktelse utgjorde pr 31.12.2017 til sammen kr 21.452</t>
  </si>
  <si>
    <t>Verdi 1.1.2017</t>
  </si>
  <si>
    <t>Verdi pr 31.12.2017</t>
  </si>
  <si>
    <t>IB 01.01.2017</t>
  </si>
  <si>
    <t>Resultat 2017, endring av EK</t>
  </si>
  <si>
    <t>EK 31.12.17</t>
  </si>
  <si>
    <t>Noter, år 2017</t>
  </si>
  <si>
    <t>Idrettsklubben hadde pr 31.12.2017 til sammen 3.379 medlemmer.</t>
  </si>
  <si>
    <t>Hytta er forsikret for kr 3.098.000</t>
  </si>
  <si>
    <t>Å r  2 0 1 8</t>
  </si>
  <si>
    <t>Vinduer og dører Studenterhytta</t>
  </si>
  <si>
    <t>MVA kompensasjon</t>
  </si>
  <si>
    <t>Dugnadspenger</t>
  </si>
  <si>
    <t>Andre lønnsperiodiseringer</t>
  </si>
  <si>
    <t>,</t>
  </si>
  <si>
    <t>Diettkostnad, ikke oppg.pliktig</t>
  </si>
  <si>
    <t>Gevinst ved realisasjon av aksjer</t>
  </si>
  <si>
    <t>Valutatap (disagio)</t>
  </si>
  <si>
    <t>Oslo, ____. mars 2019</t>
  </si>
  <si>
    <t>Noter, år 2018</t>
  </si>
  <si>
    <t>År 2018</t>
  </si>
  <si>
    <t xml:space="preserve">OSI har sysselsatt i gjennomsnitt 1 årsverk i 2018 med tillegg av all frivillig innsats. </t>
  </si>
  <si>
    <t>Lønn til daglig leder utgjorde i 2018 kr 412.035.</t>
  </si>
  <si>
    <t>Det er ikke utbetalt  styrehonorar eller annen godtgjørelse til styremedlemmer av hovedstyret i 2018.</t>
  </si>
  <si>
    <t>Av kostnadsført revisjonshonorar gjelder kr 12.157 inkl mva honorar for andre tjenester.</t>
  </si>
  <si>
    <t>Totale kostnader til revisor i 2018 var kr 78.063. Av dette gjelder kr 50906 regnskapsåret 2017 og kr 15.000 gjelder 2018</t>
  </si>
  <si>
    <t>Bokført verdi 31.12.2018</t>
  </si>
  <si>
    <t>Anskaffelseskostnad desember 2018</t>
  </si>
  <si>
    <t>Avskrives over 5 år fra januar  2018.</t>
  </si>
  <si>
    <t xml:space="preserve">Av foreningens innestående midler i bank er kr 21.419 innestående på egen skattetrekkskonto. </t>
  </si>
  <si>
    <t>Tilhørende skatteforpliktelse utgjorde pr 31.12.2018 til sammen kr 20.842</t>
  </si>
  <si>
    <t>Verdi 1.1.2018</t>
  </si>
  <si>
    <t>Verdi pr 31.12.2018</t>
  </si>
  <si>
    <t>Resultatregnskap 2018 for Oslostudentenes Idrettsklubb</t>
  </si>
  <si>
    <t>Balanse pr 31.12.2018 for Oslostudentenes Idrettsklubb</t>
  </si>
  <si>
    <t>IB 01.01.2018</t>
  </si>
  <si>
    <t>Resultat 2018, endring av EK</t>
  </si>
  <si>
    <t>EK 31.12.18</t>
  </si>
  <si>
    <t>Fri egenkapitl 33 Roing</t>
  </si>
  <si>
    <t>Fri egenkapital 42 Bordtennis</t>
  </si>
  <si>
    <t>Hytta er forsikret for kr 3.212 702</t>
  </si>
  <si>
    <t>Idrettsklubben hadde pr 31.12.2018 til sammen 3.500 medlemmer.</t>
  </si>
  <si>
    <t>Å r  2 0 1 9</t>
  </si>
  <si>
    <t>Kjøp av båt Roing</t>
  </si>
  <si>
    <t>Nytt bad Studenterhytta</t>
  </si>
  <si>
    <t>Fri egenkapital 33 Roing</t>
  </si>
  <si>
    <t>Overtid</t>
  </si>
  <si>
    <t>Trekkpl Kostgodtgjørelse</t>
  </si>
  <si>
    <t>Resultatregnskap 2019 for Oslostudentenes Idrettsklubb</t>
  </si>
  <si>
    <t>Balanse pr 31.12.2019 for Oslostudentenes Idrettsklubb</t>
  </si>
  <si>
    <t>Oslo, ____. mars 2020</t>
  </si>
  <si>
    <t>Noter, år 2019</t>
  </si>
  <si>
    <t>År 2019</t>
  </si>
  <si>
    <t xml:space="preserve">OSI har sysselsatt i gjennomsnitt 1 årsverk i 2019 med tillegg av all frivillig innsats. </t>
  </si>
  <si>
    <t>Lønn til daglig leder utgjorde i 2019 kr 383.005.</t>
  </si>
  <si>
    <t>Det er ikke utbetalt  styrehonorar eller annen godtgjørelse til styremedlemmer av hovedstyret i 2019.</t>
  </si>
  <si>
    <t>Totale kostnader til revisor i 2019 var kr 50.913. Av dette gjelder kr 40.413 regnskapsåret 2018 og kr 10.500 gjelder 2019</t>
  </si>
  <si>
    <t>Av kostnadsført revisjonshonorar gjelder kr 15.413 inkl mva honorar for andre tjenester.</t>
  </si>
  <si>
    <t>Bokført verdi 31.12.2019</t>
  </si>
  <si>
    <t>Kjøp av båt, Roing</t>
  </si>
  <si>
    <t>Båt, anskaffet i 2019</t>
  </si>
  <si>
    <t>Nytt bad Studenterhyttta</t>
  </si>
  <si>
    <t>Anskaffelseskont mars 2019</t>
  </si>
  <si>
    <t xml:space="preserve">Av foreningens innestående midler i bank er kr 9.434 innestående på egen skattetrekkskonto. </t>
  </si>
  <si>
    <t>Tilhørende skatteforpliktelse utgjorde pr 31.12.2018 til sammen kr 9.434</t>
  </si>
  <si>
    <t>Verdi 1.1.2019</t>
  </si>
  <si>
    <t>Verdi pr 31.12.2019</t>
  </si>
  <si>
    <t>Sum bundet egenkapital 31.12.19</t>
  </si>
  <si>
    <t>Sum egenkapital 31.12.19</t>
  </si>
  <si>
    <t>Fri egenkapital 21 Triatlon</t>
  </si>
  <si>
    <t>Fri egenkapital 37 Dans Pardans</t>
  </si>
  <si>
    <t>Fri egenkapital 47 Friluft</t>
  </si>
  <si>
    <t>Fro egenkapital 48 Dans-Gruppedans</t>
  </si>
  <si>
    <t>IB 01.01.2019</t>
  </si>
  <si>
    <t>EK 31.12.19</t>
  </si>
  <si>
    <t>Idrettsklubben hadde pr 31.12.2019 til sammen 3.000 medlemmer.</t>
  </si>
  <si>
    <t>Å r  2 0 2 0</t>
  </si>
  <si>
    <t>Fri egenkapital Friluft</t>
  </si>
  <si>
    <t>Opptjent, ikke fakturert inntekt</t>
  </si>
  <si>
    <t>Gave til ansatte, ikke fradragsberettiget</t>
  </si>
  <si>
    <t>Avskrivninger på bygninger og annen fast eiendom</t>
  </si>
  <si>
    <t>Avskrivninger på inventar</t>
  </si>
  <si>
    <t>Annen salgskostnad</t>
  </si>
  <si>
    <t>Resultatregnskap 2020 for Oslostudentenes Idrettsklubb</t>
  </si>
  <si>
    <t>Oslostudentenes Idrettsklubb, år 2020</t>
  </si>
  <si>
    <t>Balanse pr 31.12.2020 for Oslostudentenes Idrettsklubb</t>
  </si>
  <si>
    <t>Oslo, ____. mars 2021</t>
  </si>
  <si>
    <t>Noter, år 2020</t>
  </si>
  <si>
    <t>År 2020</t>
  </si>
  <si>
    <t xml:space="preserve">OSI har sysselsatt i gjennomsnitt 1 årsverk i 2020 med tillegg av all frivillig innsats. </t>
  </si>
  <si>
    <t>Lønn til daglig leder utgjorde i 2020 kr 387.620.</t>
  </si>
  <si>
    <t>Det er ikke utbetalt  styrehonorar eller annen godtgjørelse til styremedlemmer av hovedstyret i 2020.</t>
  </si>
  <si>
    <t>Totale kostnader til revisor i 2020 var kr 62.313. Av dette gjelder kr 54.375 regnskapsåret 2019 og kr 7.938 gjelder 2020</t>
  </si>
  <si>
    <t>Bokført verdi 31.12.2020</t>
  </si>
  <si>
    <t>Inventar KSI Hytta</t>
  </si>
  <si>
    <t>Anskaffelseskostnad  2020</t>
  </si>
  <si>
    <t>Inventaret avskrives over 5 år fra 2020.</t>
  </si>
  <si>
    <t xml:space="preserve">Av foreningens innestående midler i bank er kr 14.988 innestående på egen skattetrekkskonto. </t>
  </si>
  <si>
    <t>Tilhørende skatteforpliktelse utgjorde pr 31.12.2020 til sammen kr 14.988</t>
  </si>
  <si>
    <t>Verdi 1.1.2020</t>
  </si>
  <si>
    <t>Verdi pr 31.12.2020</t>
  </si>
  <si>
    <t>Sum bundet egenkapital 31.12.20</t>
  </si>
  <si>
    <t>Sum egenkapital 31.12.20</t>
  </si>
  <si>
    <t>Endring av egenkapital fremkommer som årsresultat for den enkelte gruppe, og er vist i kolonnen "Resultat 2020, endring av EK"</t>
  </si>
  <si>
    <t>Resultat 2020, endring av EK</t>
  </si>
  <si>
    <t>IB 01.01.2020</t>
  </si>
  <si>
    <t>EK 31.12.20</t>
  </si>
  <si>
    <t>Fri egenkaital 51 OSI E Sport</t>
  </si>
  <si>
    <t xml:space="preserve">Hytta er bygd opp igjen i 2020, og avskrives over 50 år. </t>
  </si>
  <si>
    <t>Det er et pantelån knyttet til hytten på kr 35.000.</t>
  </si>
  <si>
    <t>Idrettsklubben hadde pr 31.12.2020 til sammen 2.409 medlemmer.</t>
  </si>
  <si>
    <t>KSI- Hytta er forsikret for kr 10.000.000,-</t>
  </si>
  <si>
    <t xml:space="preserve">Total forsikringsverdi for inventar og løsøre for alle hyttene er </t>
  </si>
  <si>
    <t>Fordring Gjensidige</t>
  </si>
  <si>
    <t>Realisasjonsverdi anleggsmidler</t>
  </si>
  <si>
    <t>Motkonto, balanseverdi solgte anleggsmidler</t>
  </si>
  <si>
    <t>Oslostudentenes Idrettsklubb, år 2021</t>
  </si>
  <si>
    <t>Å r  2 0 2 1</t>
  </si>
  <si>
    <t>Resultatregnskap 2021 for Oslostudentenes Idrettsklubb</t>
  </si>
  <si>
    <t>Balanse pr 31.12.2021 for Oslostudentenes Idrettsklubb</t>
  </si>
  <si>
    <t>Noter, år 2021</t>
  </si>
  <si>
    <t>År 2021</t>
  </si>
  <si>
    <t xml:space="preserve">OSI har sysselsatt i gjennomsnitt 1 årsverk i 2021 med tillegg av all frivillig innsats. </t>
  </si>
  <si>
    <t>Det er ikke utbetalt  styrehonorar eller annen godtgjørelse til styremedlemmer av hovedstyret i 2021.</t>
  </si>
  <si>
    <t>Endring av egenkapital fremkommer som årsresultat for den enkelte gruppe, og er vist i kolonnen "Resultat 2021, endring av EK"</t>
  </si>
  <si>
    <t>Verdi 1.1.2021</t>
  </si>
  <si>
    <t>Verdi pr 31.12.2021</t>
  </si>
  <si>
    <t>IB 01.01.2021</t>
  </si>
  <si>
    <t>Resultat 2021, endring av EK</t>
  </si>
  <si>
    <t>EK 31.12.21</t>
  </si>
  <si>
    <t>Andre transportmidler</t>
  </si>
  <si>
    <t>Renseanlegg Studenterhytta</t>
  </si>
  <si>
    <t>Fri egenkapital 48 Gruppedans</t>
  </si>
  <si>
    <t>Fri egenkapital 51 OSI E sport</t>
  </si>
  <si>
    <t>Lønn til daglig leder utgjorde i 2021 kr 415.776.</t>
  </si>
  <si>
    <t xml:space="preserve">Totale kostnader til revisor i 2021 var kr 72.475. </t>
  </si>
  <si>
    <t>Bokført verdi 31.12.2021</t>
  </si>
  <si>
    <t>Anskaffelseskont 2021, nytt bad</t>
  </si>
  <si>
    <t>Nytt bad avskrives over 5 år fra 2022</t>
  </si>
  <si>
    <t>Anskaffelseskostnad høst 2021</t>
  </si>
  <si>
    <t>Avskrives over 5 år fra januar 2022</t>
  </si>
  <si>
    <t xml:space="preserve">Av foreningens innestående midler i bank er kr 16.983 innestående på egen skattetrekkskonto. </t>
  </si>
  <si>
    <t>Tilhørende skatteforpliktelse utgjorde pr 31.12.2021 til sammen kr 16.981</t>
  </si>
  <si>
    <t>Fri egenkapital 44 Rugby</t>
  </si>
  <si>
    <t>Sum egenkapital 31.12.21</t>
  </si>
  <si>
    <t>Idrettsklubben hadde pr 31.12.2021 til sammen 2.325 medlemmer.</t>
  </si>
  <si>
    <t>Andre Transportmidler, skaphenger</t>
  </si>
  <si>
    <t>Anskaffelseskostnad juni 2021</t>
  </si>
  <si>
    <t>Avskrives over 5 år fra juni 2021</t>
  </si>
  <si>
    <t>- finansiert med støtte Sparebankstiftelsen</t>
  </si>
  <si>
    <t>- finansiert med støtte Annette og Brynjulf</t>
  </si>
  <si>
    <t xml:space="preserve">  Skaugens Veldedige Stiftelse</t>
  </si>
  <si>
    <t>- tidligere års avskrivninger</t>
  </si>
  <si>
    <t>Styreleder: Christian Jørgensen</t>
  </si>
  <si>
    <t>Styremedlem: Ida S Jacobsen</t>
  </si>
  <si>
    <t>Styremedlem: Kenneth Endressplass</t>
  </si>
  <si>
    <t>Styremedlem: Ylva Sjølund</t>
  </si>
  <si>
    <t>Styremedlem: Lisa Pan Vu</t>
  </si>
  <si>
    <t>Styremedlem Mathias Fekete</t>
  </si>
  <si>
    <t>Styremedlem: Nina Stærnes</t>
  </si>
  <si>
    <t>Varamedlem Amalie Rostad</t>
  </si>
  <si>
    <t>Varamedlem: Håvard Næss</t>
  </si>
  <si>
    <t>Oslo, 10 mars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</si>
</sst>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ail"/>
    </font>
    <font>
      <sz val="8"/>
      <name val="Calibri  "/>
    </font>
    <font>
      <sz val="8"/>
      <name val="Calibri   "/>
    </font>
    <font>
      <b/>
      <sz val="16"/>
      <name val="Calibri  "/>
    </font>
    <font>
      <b/>
      <sz val="12"/>
      <color rgb="FF2E8B57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164" fontId="5" fillId="0" borderId="0" applyNumberFormat="0" applyFill="0" applyBorder="0" applyAlignment="0" applyProtection="0"/>
    <xf numFmtId="0" fontId="1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8" fillId="0" borderId="0"/>
    <xf numFmtId="164" fontId="5" fillId="0" borderId="0" applyNumberFormat="0" applyFill="0" applyBorder="0" applyAlignment="0" applyProtection="0"/>
    <xf numFmtId="0" fontId="1" fillId="0" borderId="0"/>
  </cellStyleXfs>
  <cellXfs count="394">
    <xf numFmtId="0" fontId="0" fillId="0" borderId="0" xfId="0"/>
    <xf numFmtId="4" fontId="0" fillId="0" borderId="0" xfId="0" applyNumberFormat="1"/>
    <xf numFmtId="0" fontId="10" fillId="0" borderId="0" xfId="0" applyFont="1"/>
    <xf numFmtId="0" fontId="7" fillId="0" borderId="0" xfId="0" applyFont="1"/>
    <xf numFmtId="0" fontId="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7" fillId="0" borderId="0" xfId="0" applyNumberFormat="1" applyFont="1"/>
    <xf numFmtId="0" fontId="11" fillId="0" borderId="0" xfId="2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1" fillId="0" borderId="0" xfId="0" applyFont="1"/>
    <xf numFmtId="1" fontId="5" fillId="0" borderId="0" xfId="1" applyNumberFormat="1"/>
    <xf numFmtId="0" fontId="11" fillId="0" borderId="0" xfId="2"/>
    <xf numFmtId="3" fontId="5" fillId="0" borderId="0" xfId="1" applyNumberFormat="1"/>
    <xf numFmtId="3" fontId="11" fillId="0" borderId="0" xfId="0" applyNumberFormat="1" applyFont="1" applyBorder="1"/>
    <xf numFmtId="3" fontId="0" fillId="0" borderId="0" xfId="0" applyNumberFormat="1" applyBorder="1"/>
    <xf numFmtId="4" fontId="5" fillId="0" borderId="0" xfId="1" applyNumberFormat="1" applyAlignment="1">
      <alignment horizontal="center"/>
    </xf>
    <xf numFmtId="4" fontId="5" fillId="0" borderId="0" xfId="1" applyNumberFormat="1"/>
    <xf numFmtId="0" fontId="0" fillId="0" borderId="0" xfId="0" applyAlignment="1">
      <alignment horizontal="left"/>
    </xf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4" fontId="0" fillId="5" borderId="0" xfId="0" applyNumberFormat="1" applyFill="1"/>
    <xf numFmtId="4" fontId="0" fillId="6" borderId="0" xfId="0" applyNumberFormat="1" applyFill="1"/>
    <xf numFmtId="4" fontId="5" fillId="6" borderId="0" xfId="1" applyNumberFormat="1" applyFill="1"/>
    <xf numFmtId="4" fontId="0" fillId="7" borderId="0" xfId="0" applyNumberFormat="1" applyFill="1"/>
    <xf numFmtId="4" fontId="5" fillId="4" borderId="0" xfId="1" applyNumberFormat="1" applyFill="1"/>
    <xf numFmtId="4" fontId="5" fillId="7" borderId="0" xfId="1" applyNumberFormat="1" applyFill="1"/>
    <xf numFmtId="4" fontId="5" fillId="8" borderId="0" xfId="1" applyNumberFormat="1" applyFill="1"/>
    <xf numFmtId="4" fontId="5" fillId="5" borderId="0" xfId="1" applyNumberFormat="1" applyFill="1"/>
    <xf numFmtId="4" fontId="5" fillId="2" borderId="0" xfId="1" applyNumberFormat="1" applyFill="1"/>
    <xf numFmtId="4" fontId="5" fillId="9" borderId="0" xfId="1" applyNumberFormat="1" applyFill="1"/>
    <xf numFmtId="4" fontId="0" fillId="9" borderId="0" xfId="0" applyNumberFormat="1" applyFill="1"/>
    <xf numFmtId="4" fontId="5" fillId="3" borderId="0" xfId="1" applyNumberFormat="1" applyFill="1"/>
    <xf numFmtId="4" fontId="5" fillId="10" borderId="0" xfId="1" applyNumberFormat="1" applyFill="1"/>
    <xf numFmtId="4" fontId="0" fillId="10" borderId="0" xfId="0" applyNumberFormat="1" applyFill="1"/>
    <xf numFmtId="4" fontId="0" fillId="0" borderId="0" xfId="1" applyNumberFormat="1" applyFont="1"/>
    <xf numFmtId="4" fontId="5" fillId="11" borderId="0" xfId="1" applyNumberFormat="1" applyFill="1"/>
    <xf numFmtId="4" fontId="0" fillId="11" borderId="0" xfId="0" applyNumberFormat="1" applyFill="1"/>
    <xf numFmtId="4" fontId="0" fillId="8" borderId="0" xfId="0" applyNumberFormat="1" applyFill="1"/>
    <xf numFmtId="0" fontId="14" fillId="0" borderId="0" xfId="0" applyFont="1"/>
    <xf numFmtId="4" fontId="11" fillId="0" borderId="0" xfId="1" applyNumberFormat="1" applyFont="1"/>
    <xf numFmtId="4" fontId="14" fillId="0" borderId="0" xfId="0" applyNumberFormat="1" applyFont="1"/>
    <xf numFmtId="0" fontId="15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Fill="1" applyBorder="1"/>
    <xf numFmtId="0" fontId="14" fillId="0" borderId="0" xfId="2" applyFont="1"/>
    <xf numFmtId="0" fontId="18" fillId="0" borderId="0" xfId="2" applyFont="1"/>
    <xf numFmtId="0" fontId="1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165" fontId="19" fillId="0" borderId="0" xfId="1" applyNumberFormat="1" applyFont="1"/>
    <xf numFmtId="165" fontId="0" fillId="0" borderId="0" xfId="1" applyNumberFormat="1" applyFont="1" applyProtection="1">
      <protection locked="0"/>
    </xf>
    <xf numFmtId="165" fontId="0" fillId="0" borderId="1" xfId="1" applyNumberFormat="1" applyFont="1" applyBorder="1" applyProtection="1">
      <protection locked="0"/>
    </xf>
    <xf numFmtId="3" fontId="0" fillId="0" borderId="0" xfId="0" applyNumberFormat="1" applyFont="1" applyProtection="1">
      <protection locked="0"/>
    </xf>
    <xf numFmtId="0" fontId="11" fillId="0" borderId="0" xfId="2" applyFont="1" applyFill="1"/>
    <xf numFmtId="0" fontId="0" fillId="0" borderId="0" xfId="0" applyFill="1" applyProtection="1">
      <protection locked="0"/>
    </xf>
    <xf numFmtId="0" fontId="20" fillId="0" borderId="0" xfId="2" applyFont="1"/>
    <xf numFmtId="165" fontId="8" fillId="0" borderId="0" xfId="1" applyNumberFormat="1" applyFont="1" applyProtection="1">
      <protection locked="0"/>
    </xf>
    <xf numFmtId="165" fontId="8" fillId="0" borderId="1" xfId="1" applyNumberFormat="1" applyFont="1" applyBorder="1" applyProtection="1">
      <protection locked="0"/>
    </xf>
    <xf numFmtId="2" fontId="8" fillId="0" borderId="0" xfId="1" applyNumberFormat="1" applyFont="1" applyProtection="1">
      <protection locked="0"/>
    </xf>
    <xf numFmtId="0" fontId="9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/>
    <xf numFmtId="165" fontId="8" fillId="0" borderId="0" xfId="1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2" applyFont="1" applyFill="1"/>
    <xf numFmtId="0" fontId="7" fillId="0" borderId="0" xfId="0" applyFont="1" applyAlignment="1">
      <alignment horizontal="center"/>
    </xf>
    <xf numFmtId="4" fontId="0" fillId="0" borderId="0" xfId="0" applyNumberFormat="1" applyProtection="1">
      <protection locked="0"/>
    </xf>
    <xf numFmtId="4" fontId="0" fillId="0" borderId="1" xfId="0" applyNumberFormat="1" applyBorder="1" applyProtection="1">
      <protection locked="0"/>
    </xf>
    <xf numFmtId="4" fontId="8" fillId="0" borderId="0" xfId="0" applyNumberFormat="1" applyFont="1" applyProtection="1">
      <protection locked="0"/>
    </xf>
    <xf numFmtId="4" fontId="8" fillId="0" borderId="1" xfId="0" applyNumberFormat="1" applyFont="1" applyBorder="1" applyProtection="1">
      <protection locked="0"/>
    </xf>
    <xf numFmtId="3" fontId="8" fillId="0" borderId="0" xfId="0" applyNumberFormat="1" applyFont="1" applyProtection="1">
      <protection locked="0"/>
    </xf>
    <xf numFmtId="3" fontId="8" fillId="0" borderId="1" xfId="0" applyNumberFormat="1" applyFont="1" applyBorder="1" applyProtection="1">
      <protection locked="0"/>
    </xf>
    <xf numFmtId="3" fontId="8" fillId="0" borderId="0" xfId="1" applyNumberFormat="1" applyFont="1" applyProtection="1">
      <protection locked="0"/>
    </xf>
    <xf numFmtId="3" fontId="8" fillId="0" borderId="1" xfId="1" applyNumberFormat="1" applyFont="1" applyBorder="1" applyProtection="1">
      <protection locked="0"/>
    </xf>
    <xf numFmtId="3" fontId="8" fillId="0" borderId="0" xfId="1" applyNumberFormat="1" applyFont="1" applyBorder="1" applyProtection="1">
      <protection locked="0"/>
    </xf>
    <xf numFmtId="0" fontId="11" fillId="0" borderId="0" xfId="0" applyFont="1" applyFill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165" fontId="9" fillId="0" borderId="0" xfId="1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0" fillId="0" borderId="1" xfId="0" applyNumberFormat="1" applyFill="1" applyBorder="1" applyProtection="1">
      <protection locked="0"/>
    </xf>
    <xf numFmtId="4" fontId="9" fillId="0" borderId="0" xfId="0" applyNumberFormat="1" applyFont="1" applyProtection="1"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12" fillId="0" borderId="0" xfId="0" applyFont="1" applyAlignment="1">
      <alignment horizontal="left"/>
    </xf>
    <xf numFmtId="0" fontId="24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" fontId="0" fillId="0" borderId="0" xfId="1" applyNumberFormat="1" applyFont="1" applyFill="1"/>
    <xf numFmtId="0" fontId="7" fillId="0" borderId="0" xfId="0" applyFont="1" applyAlignment="1">
      <alignment horizontal="center"/>
    </xf>
    <xf numFmtId="0" fontId="25" fillId="0" borderId="0" xfId="0" applyFont="1"/>
    <xf numFmtId="164" fontId="0" fillId="0" borderId="0" xfId="1" applyFont="1"/>
    <xf numFmtId="164" fontId="7" fillId="0" borderId="0" xfId="1" applyFont="1"/>
    <xf numFmtId="49" fontId="0" fillId="0" borderId="0" xfId="0" applyNumberFormat="1"/>
    <xf numFmtId="164" fontId="0" fillId="0" borderId="0" xfId="0" applyNumberFormat="1"/>
    <xf numFmtId="164" fontId="0" fillId="7" borderId="0" xfId="1" applyFont="1" applyFill="1"/>
    <xf numFmtId="164" fontId="0" fillId="7" borderId="0" xfId="0" applyNumberFormat="1" applyFill="1"/>
    <xf numFmtId="164" fontId="0" fillId="4" borderId="0" xfId="1" applyFont="1" applyFill="1"/>
    <xf numFmtId="164" fontId="0" fillId="4" borderId="0" xfId="0" applyNumberFormat="1" applyFill="1"/>
    <xf numFmtId="164" fontId="0" fillId="6" borderId="0" xfId="1" applyFont="1" applyFill="1"/>
    <xf numFmtId="164" fontId="0" fillId="6" borderId="0" xfId="0" applyNumberFormat="1" applyFill="1"/>
    <xf numFmtId="164" fontId="0" fillId="8" borderId="0" xfId="1" applyFont="1" applyFill="1"/>
    <xf numFmtId="164" fontId="0" fillId="9" borderId="0" xfId="1" applyFont="1" applyFill="1"/>
    <xf numFmtId="164" fontId="0" fillId="9" borderId="0" xfId="0" applyNumberFormat="1" applyFill="1"/>
    <xf numFmtId="164" fontId="0" fillId="5" borderId="0" xfId="1" applyFont="1" applyFill="1"/>
    <xf numFmtId="164" fontId="0" fillId="5" borderId="0" xfId="0" applyNumberFormat="1" applyFill="1"/>
    <xf numFmtId="164" fontId="0" fillId="3" borderId="0" xfId="1" applyFont="1" applyFill="1"/>
    <xf numFmtId="164" fontId="0" fillId="3" borderId="0" xfId="0" applyNumberFormat="1" applyFill="1"/>
    <xf numFmtId="164" fontId="0" fillId="10" borderId="0" xfId="1" applyFont="1" applyFill="1"/>
    <xf numFmtId="164" fontId="0" fillId="10" borderId="0" xfId="0" applyNumberFormat="1" applyFill="1"/>
    <xf numFmtId="164" fontId="0" fillId="2" borderId="0" xfId="1" applyFont="1" applyFill="1"/>
    <xf numFmtId="164" fontId="0" fillId="2" borderId="0" xfId="0" applyNumberFormat="1" applyFill="1"/>
    <xf numFmtId="164" fontId="0" fillId="8" borderId="0" xfId="0" applyNumberFormat="1" applyFill="1"/>
    <xf numFmtId="164" fontId="0" fillId="11" borderId="0" xfId="1" applyFont="1" applyFill="1"/>
    <xf numFmtId="164" fontId="0" fillId="11" borderId="0" xfId="0" applyNumberFormat="1" applyFill="1"/>
    <xf numFmtId="165" fontId="0" fillId="0" borderId="0" xfId="0" applyNumberFormat="1" applyProtection="1">
      <protection locked="0"/>
    </xf>
    <xf numFmtId="0" fontId="5" fillId="0" borderId="0" xfId="1" applyNumberFormat="1"/>
    <xf numFmtId="49" fontId="5" fillId="0" borderId="0" xfId="0" applyNumberFormat="1" applyFont="1"/>
    <xf numFmtId="0" fontId="5" fillId="0" borderId="0" xfId="2" applyFont="1"/>
    <xf numFmtId="3" fontId="5" fillId="0" borderId="1" xfId="1" applyNumberFormat="1" applyFill="1" applyBorder="1" applyProtection="1">
      <protection locked="0"/>
    </xf>
    <xf numFmtId="3" fontId="5" fillId="0" borderId="0" xfId="1" applyNumberFormat="1" applyFill="1" applyProtection="1">
      <protection locked="0"/>
    </xf>
    <xf numFmtId="3" fontId="5" fillId="0" borderId="1" xfId="1" applyNumberFormat="1" applyFill="1" applyBorder="1" applyAlignment="1" applyProtection="1">
      <alignment horizontal="right"/>
      <protection locked="0"/>
    </xf>
    <xf numFmtId="3" fontId="5" fillId="0" borderId="0" xfId="1" applyNumberFormat="1" applyFill="1" applyAlignment="1" applyProtection="1">
      <alignment horizontal="right"/>
      <protection locked="0"/>
    </xf>
    <xf numFmtId="0" fontId="5" fillId="0" borderId="0" xfId="2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ill="1"/>
    <xf numFmtId="4" fontId="5" fillId="12" borderId="0" xfId="1" applyNumberFormat="1" applyFill="1"/>
    <xf numFmtId="165" fontId="8" fillId="0" borderId="0" xfId="1" applyNumberFormat="1" applyFont="1" applyFill="1" applyBorder="1" applyProtection="1">
      <protection locked="0"/>
    </xf>
    <xf numFmtId="165" fontId="8" fillId="0" borderId="1" xfId="1" applyNumberFormat="1" applyFont="1" applyFill="1" applyBorder="1" applyProtection="1">
      <protection locked="0"/>
    </xf>
    <xf numFmtId="165" fontId="8" fillId="0" borderId="0" xfId="1" applyNumberFormat="1" applyFont="1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0" fontId="5" fillId="0" borderId="0" xfId="0" applyFont="1" applyProtection="1">
      <protection locked="0"/>
    </xf>
    <xf numFmtId="3" fontId="0" fillId="0" borderId="0" xfId="0" applyNumberFormat="1" applyProtection="1">
      <protection locked="0"/>
    </xf>
    <xf numFmtId="165" fontId="19" fillId="0" borderId="0" xfId="1" applyNumberFormat="1" applyFont="1" applyFill="1"/>
    <xf numFmtId="165" fontId="0" fillId="0" borderId="0" xfId="1" applyNumberFormat="1" applyFont="1" applyFill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3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3" fontId="8" fillId="0" borderId="0" xfId="0" applyNumberFormat="1" applyFont="1" applyFill="1" applyProtection="1">
      <protection locked="0"/>
    </xf>
    <xf numFmtId="2" fontId="8" fillId="0" borderId="0" xfId="1" applyNumberFormat="1" applyFont="1" applyFill="1" applyProtection="1">
      <protection locked="0"/>
    </xf>
    <xf numFmtId="165" fontId="0" fillId="0" borderId="0" xfId="0" applyNumberFormat="1" applyFill="1" applyProtection="1">
      <protection locked="0"/>
    </xf>
    <xf numFmtId="3" fontId="8" fillId="0" borderId="1" xfId="0" applyNumberFormat="1" applyFont="1" applyFill="1" applyBorder="1" applyProtection="1">
      <protection locked="0"/>
    </xf>
    <xf numFmtId="4" fontId="8" fillId="0" borderId="0" xfId="0" applyNumberFormat="1" applyFont="1" applyFill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165" fontId="9" fillId="0" borderId="0" xfId="1" applyNumberFormat="1" applyFont="1" applyFill="1" applyProtection="1">
      <protection locked="0"/>
    </xf>
    <xf numFmtId="3" fontId="8" fillId="0" borderId="0" xfId="1" applyNumberFormat="1" applyFont="1" applyFill="1" applyProtection="1">
      <protection locked="0"/>
    </xf>
    <xf numFmtId="3" fontId="8" fillId="0" borderId="1" xfId="1" applyNumberFormat="1" applyFont="1" applyFill="1" applyBorder="1" applyProtection="1">
      <protection locked="0"/>
    </xf>
    <xf numFmtId="3" fontId="8" fillId="0" borderId="0" xfId="1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/>
    <xf numFmtId="3" fontId="0" fillId="0" borderId="1" xfId="0" applyNumberFormat="1" applyFill="1" applyBorder="1"/>
    <xf numFmtId="3" fontId="7" fillId="0" borderId="0" xfId="0" applyNumberFormat="1" applyFont="1" applyFill="1"/>
    <xf numFmtId="3" fontId="5" fillId="0" borderId="0" xfId="0" applyNumberFormat="1" applyFont="1" applyFill="1"/>
    <xf numFmtId="0" fontId="0" fillId="0" borderId="0" xfId="0" applyFont="1" applyFill="1"/>
    <xf numFmtId="0" fontId="7" fillId="0" borderId="0" xfId="0" applyFont="1" applyFill="1" applyAlignment="1">
      <alignment horizontal="center"/>
    </xf>
    <xf numFmtId="1" fontId="5" fillId="0" borderId="0" xfId="1" applyNumberFormat="1" applyFill="1"/>
    <xf numFmtId="3" fontId="11" fillId="0" borderId="0" xfId="0" applyNumberFormat="1" applyFont="1" applyFill="1" applyBorder="1"/>
    <xf numFmtId="3" fontId="0" fillId="0" borderId="0" xfId="0" applyNumberFormat="1" applyFill="1" applyBorder="1"/>
    <xf numFmtId="3" fontId="5" fillId="0" borderId="0" xfId="1" applyNumberFormat="1" applyFill="1"/>
    <xf numFmtId="0" fontId="14" fillId="0" borderId="0" xfId="0" applyFont="1" applyFill="1" applyAlignment="1">
      <alignment horizontal="center"/>
    </xf>
    <xf numFmtId="3" fontId="14" fillId="0" borderId="0" xfId="0" applyNumberFormat="1" applyFont="1" applyFill="1" applyAlignment="1">
      <alignment horizontal="center"/>
    </xf>
    <xf numFmtId="49" fontId="0" fillId="0" borderId="2" xfId="0" applyNumberFormat="1" applyBorder="1"/>
    <xf numFmtId="3" fontId="5" fillId="0" borderId="2" xfId="1" applyNumberFormat="1" applyBorder="1"/>
    <xf numFmtId="3" fontId="0" fillId="0" borderId="2" xfId="0" applyNumberFormat="1" applyBorder="1" applyProtection="1">
      <protection locked="0"/>
    </xf>
    <xf numFmtId="49" fontId="5" fillId="0" borderId="2" xfId="0" applyNumberFormat="1" applyFont="1" applyBorder="1"/>
    <xf numFmtId="0" fontId="0" fillId="0" borderId="4" xfId="0" applyBorder="1"/>
    <xf numFmtId="49" fontId="0" fillId="0" borderId="5" xfId="0" applyNumberFormat="1" applyBorder="1"/>
    <xf numFmtId="3" fontId="5" fillId="0" borderId="5" xfId="1" applyNumberFormat="1" applyBorder="1"/>
    <xf numFmtId="3" fontId="0" fillId="0" borderId="5" xfId="0" applyNumberFormat="1" applyBorder="1" applyProtection="1">
      <protection locked="0"/>
    </xf>
    <xf numFmtId="3" fontId="5" fillId="0" borderId="6" xfId="1" applyNumberFormat="1" applyBorder="1"/>
    <xf numFmtId="0" fontId="0" fillId="0" borderId="7" xfId="0" applyBorder="1"/>
    <xf numFmtId="3" fontId="5" fillId="0" borderId="8" xfId="1" applyNumberFormat="1" applyBorder="1"/>
    <xf numFmtId="0" fontId="0" fillId="0" borderId="9" xfId="0" applyBorder="1" applyProtection="1">
      <protection locked="0"/>
    </xf>
    <xf numFmtId="3" fontId="14" fillId="0" borderId="10" xfId="0" applyNumberFormat="1" applyFont="1" applyBorder="1" applyProtection="1">
      <protection locked="0"/>
    </xf>
    <xf numFmtId="3" fontId="14" fillId="0" borderId="11" xfId="0" applyNumberFormat="1" applyFont="1" applyBorder="1" applyProtection="1">
      <protection locked="0"/>
    </xf>
    <xf numFmtId="0" fontId="14" fillId="0" borderId="10" xfId="0" applyFont="1" applyBorder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0" xfId="0" applyFont="1"/>
    <xf numFmtId="164" fontId="0" fillId="12" borderId="0" xfId="1" applyFont="1" applyFill="1"/>
    <xf numFmtId="164" fontId="0" fillId="12" borderId="0" xfId="0" applyNumberFormat="1" applyFill="1"/>
    <xf numFmtId="3" fontId="5" fillId="0" borderId="0" xfId="1" applyNumberFormat="1" applyFill="1" applyBorder="1" applyProtection="1">
      <protection locked="0"/>
    </xf>
    <xf numFmtId="0" fontId="7" fillId="0" borderId="1" xfId="0" applyFont="1" applyBorder="1"/>
    <xf numFmtId="0" fontId="0" fillId="0" borderId="1" xfId="0" applyBorder="1"/>
    <xf numFmtId="4" fontId="5" fillId="0" borderId="13" xfId="1" applyNumberFormat="1" applyBorder="1"/>
    <xf numFmtId="4" fontId="5" fillId="0" borderId="12" xfId="1" applyNumberFormat="1" applyBorder="1"/>
    <xf numFmtId="0" fontId="25" fillId="0" borderId="14" xfId="0" applyFont="1" applyBorder="1"/>
    <xf numFmtId="0" fontId="0" fillId="0" borderId="15" xfId="0" applyBorder="1"/>
    <xf numFmtId="0" fontId="7" fillId="0" borderId="16" xfId="0" applyFont="1" applyBorder="1"/>
    <xf numFmtId="0" fontId="14" fillId="0" borderId="17" xfId="0" applyFont="1" applyBorder="1" applyAlignment="1">
      <alignment horizontal="center"/>
    </xf>
    <xf numFmtId="0" fontId="0" fillId="0" borderId="18" xfId="0" applyBorder="1"/>
    <xf numFmtId="49" fontId="0" fillId="0" borderId="0" xfId="0" applyNumberFormat="1" applyBorder="1"/>
    <xf numFmtId="4" fontId="5" fillId="0" borderId="19" xfId="1" applyNumberFormat="1" applyBorder="1"/>
    <xf numFmtId="0" fontId="3" fillId="0" borderId="18" xfId="3" applyBorder="1"/>
    <xf numFmtId="49" fontId="3" fillId="0" borderId="0" xfId="3" applyNumberFormat="1" applyBorder="1"/>
    <xf numFmtId="0" fontId="0" fillId="0" borderId="19" xfId="0" applyBorder="1"/>
    <xf numFmtId="49" fontId="5" fillId="0" borderId="0" xfId="0" applyNumberFormat="1" applyFont="1" applyBorder="1"/>
    <xf numFmtId="49" fontId="0" fillId="0" borderId="21" xfId="0" applyNumberFormat="1" applyBorder="1"/>
    <xf numFmtId="4" fontId="5" fillId="0" borderId="22" xfId="1" applyNumberFormat="1" applyBorder="1"/>
    <xf numFmtId="4" fontId="5" fillId="0" borderId="23" xfId="1" applyNumberFormat="1" applyBorder="1"/>
    <xf numFmtId="0" fontId="5" fillId="0" borderId="20" xfId="0" applyFont="1" applyBorder="1"/>
    <xf numFmtId="0" fontId="5" fillId="0" borderId="18" xfId="0" applyFont="1" applyBorder="1"/>
    <xf numFmtId="0" fontId="14" fillId="0" borderId="26" xfId="1" applyNumberFormat="1" applyFont="1" applyBorder="1" applyAlignment="1">
      <alignment horizontal="center"/>
    </xf>
    <xf numFmtId="4" fontId="5" fillId="7" borderId="13" xfId="1" applyNumberFormat="1" applyFill="1" applyBorder="1"/>
    <xf numFmtId="0" fontId="5" fillId="0" borderId="13" xfId="1" applyNumberFormat="1" applyBorder="1"/>
    <xf numFmtId="4" fontId="5" fillId="4" borderId="13" xfId="1" applyNumberFormat="1" applyFill="1" applyBorder="1"/>
    <xf numFmtId="4" fontId="5" fillId="6" borderId="13" xfId="1" applyNumberFormat="1" applyFill="1" applyBorder="1"/>
    <xf numFmtId="164" fontId="0" fillId="0" borderId="13" xfId="0" applyNumberFormat="1" applyBorder="1"/>
    <xf numFmtId="4" fontId="5" fillId="9" borderId="13" xfId="1" applyNumberFormat="1" applyFill="1" applyBorder="1"/>
    <xf numFmtId="4" fontId="5" fillId="3" borderId="13" xfId="1" applyNumberFormat="1" applyFill="1" applyBorder="1"/>
    <xf numFmtId="4" fontId="5" fillId="0" borderId="13" xfId="1" applyNumberFormat="1" applyFill="1" applyBorder="1"/>
    <xf numFmtId="4" fontId="5" fillId="10" borderId="13" xfId="1" applyNumberFormat="1" applyFill="1" applyBorder="1"/>
    <xf numFmtId="4" fontId="5" fillId="5" borderId="13" xfId="1" applyNumberFormat="1" applyFill="1" applyBorder="1"/>
    <xf numFmtId="4" fontId="5" fillId="8" borderId="13" xfId="1" applyNumberFormat="1" applyFill="1" applyBorder="1"/>
    <xf numFmtId="4" fontId="5" fillId="12" borderId="13" xfId="1" applyNumberFormat="1" applyFill="1" applyBorder="1"/>
    <xf numFmtId="4" fontId="5" fillId="11" borderId="13" xfId="1" applyNumberFormat="1" applyFill="1" applyBorder="1"/>
    <xf numFmtId="0" fontId="14" fillId="0" borderId="26" xfId="0" applyFont="1" applyBorder="1" applyAlignment="1">
      <alignment horizontal="center"/>
    </xf>
    <xf numFmtId="0" fontId="5" fillId="0" borderId="27" xfId="1" applyNumberFormat="1" applyBorder="1"/>
    <xf numFmtId="0" fontId="14" fillId="0" borderId="7" xfId="1" applyNumberFormat="1" applyFont="1" applyBorder="1" applyAlignment="1">
      <alignment horizontal="center"/>
    </xf>
    <xf numFmtId="4" fontId="5" fillId="0" borderId="29" xfId="1" applyNumberFormat="1" applyBorder="1"/>
    <xf numFmtId="4" fontId="5" fillId="7" borderId="29" xfId="1" applyNumberFormat="1" applyFill="1" applyBorder="1"/>
    <xf numFmtId="4" fontId="5" fillId="4" borderId="29" xfId="1" applyNumberFormat="1" applyFill="1" applyBorder="1"/>
    <xf numFmtId="4" fontId="5" fillId="6" borderId="29" xfId="1" applyNumberFormat="1" applyFill="1" applyBorder="1"/>
    <xf numFmtId="0" fontId="5" fillId="0" borderId="29" xfId="1" applyNumberFormat="1" applyBorder="1"/>
    <xf numFmtId="4" fontId="5" fillId="9" borderId="29" xfId="1" applyNumberFormat="1" applyFill="1" applyBorder="1"/>
    <xf numFmtId="4" fontId="5" fillId="2" borderId="29" xfId="1" applyNumberFormat="1" applyFill="1" applyBorder="1"/>
    <xf numFmtId="4" fontId="5" fillId="3" borderId="29" xfId="1" applyNumberFormat="1" applyFill="1" applyBorder="1"/>
    <xf numFmtId="4" fontId="5" fillId="10" borderId="29" xfId="1" applyNumberFormat="1" applyFill="1" applyBorder="1"/>
    <xf numFmtId="4" fontId="5" fillId="5" borderId="29" xfId="1" applyNumberFormat="1" applyFill="1" applyBorder="1"/>
    <xf numFmtId="4" fontId="5" fillId="8" borderId="29" xfId="1" applyNumberFormat="1" applyFill="1" applyBorder="1"/>
    <xf numFmtId="4" fontId="5" fillId="12" borderId="29" xfId="1" applyNumberFormat="1" applyFill="1" applyBorder="1"/>
    <xf numFmtId="0" fontId="5" fillId="9" borderId="29" xfId="1" applyNumberFormat="1" applyFill="1" applyBorder="1"/>
    <xf numFmtId="4" fontId="5" fillId="11" borderId="29" xfId="1" applyNumberFormat="1" applyFill="1" applyBorder="1"/>
    <xf numFmtId="4" fontId="5" fillId="0" borderId="30" xfId="1" applyNumberFormat="1" applyBorder="1"/>
    <xf numFmtId="4" fontId="14" fillId="0" borderId="7" xfId="1" applyNumberFormat="1" applyFont="1" applyBorder="1" applyAlignment="1">
      <alignment horizontal="center"/>
    </xf>
    <xf numFmtId="4" fontId="5" fillId="9" borderId="31" xfId="1" applyNumberFormat="1" applyFill="1" applyBorder="1"/>
    <xf numFmtId="4" fontId="5" fillId="9" borderId="12" xfId="1" applyNumberFormat="1" applyFill="1" applyBorder="1"/>
    <xf numFmtId="4" fontId="5" fillId="0" borderId="17" xfId="1" applyNumberFormat="1" applyBorder="1"/>
    <xf numFmtId="4" fontId="5" fillId="0" borderId="31" xfId="1" applyNumberFormat="1" applyBorder="1"/>
    <xf numFmtId="0" fontId="0" fillId="0" borderId="27" xfId="0" applyBorder="1"/>
    <xf numFmtId="4" fontId="5" fillId="2" borderId="31" xfId="1" applyNumberFormat="1" applyFill="1" applyBorder="1"/>
    <xf numFmtId="4" fontId="5" fillId="2" borderId="12" xfId="1" applyNumberFormat="1" applyFill="1" applyBorder="1"/>
    <xf numFmtId="0" fontId="0" fillId="0" borderId="17" xfId="0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9" fontId="0" fillId="0" borderId="2" xfId="0" applyNumberFormat="1" applyFill="1" applyBorder="1"/>
    <xf numFmtId="3" fontId="5" fillId="0" borderId="5" xfId="1" applyNumberFormat="1" applyFill="1" applyBorder="1"/>
    <xf numFmtId="3" fontId="5" fillId="0" borderId="2" xfId="1" applyNumberFormat="1" applyFill="1" applyBorder="1"/>
    <xf numFmtId="3" fontId="0" fillId="0" borderId="5" xfId="0" applyNumberFormat="1" applyFill="1" applyBorder="1" applyProtection="1">
      <protection locked="0"/>
    </xf>
    <xf numFmtId="3" fontId="0" fillId="0" borderId="2" xfId="0" applyNumberFormat="1" applyFill="1" applyBorder="1" applyProtection="1">
      <protection locked="0"/>
    </xf>
    <xf numFmtId="4" fontId="5" fillId="0" borderId="0" xfId="1" applyNumberFormat="1" applyBorder="1"/>
    <xf numFmtId="0" fontId="0" fillId="0" borderId="0" xfId="0" applyBorder="1"/>
    <xf numFmtId="4" fontId="5" fillId="2" borderId="30" xfId="1" applyNumberFormat="1" applyFill="1" applyBorder="1"/>
    <xf numFmtId="4" fontId="5" fillId="2" borderId="22" xfId="1" applyNumberFormat="1" applyFill="1" applyBorder="1"/>
    <xf numFmtId="0" fontId="0" fillId="0" borderId="21" xfId="0" applyBorder="1"/>
    <xf numFmtId="0" fontId="0" fillId="0" borderId="23" xfId="0" applyBorder="1"/>
    <xf numFmtId="4" fontId="5" fillId="2" borderId="0" xfId="1" applyNumberFormat="1" applyFill="1" applyBorder="1"/>
    <xf numFmtId="4" fontId="5" fillId="2" borderId="32" xfId="1" applyNumberFormat="1" applyFill="1" applyBorder="1"/>
    <xf numFmtId="4" fontId="5" fillId="0" borderId="33" xfId="1" applyNumberFormat="1" applyBorder="1"/>
    <xf numFmtId="4" fontId="5" fillId="0" borderId="34" xfId="1" applyNumberFormat="1" applyBorder="1"/>
    <xf numFmtId="4" fontId="5" fillId="2" borderId="18" xfId="1" applyNumberFormat="1" applyFill="1" applyBorder="1"/>
    <xf numFmtId="3" fontId="12" fillId="0" borderId="0" xfId="0" applyNumberFormat="1" applyFont="1" applyAlignment="1">
      <alignment horizontal="center"/>
    </xf>
    <xf numFmtId="3" fontId="5" fillId="0" borderId="29" xfId="1" applyNumberFormat="1" applyBorder="1"/>
    <xf numFmtId="0" fontId="8" fillId="0" borderId="21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" fontId="5" fillId="0" borderId="29" xfId="1" applyNumberFormat="1" applyFill="1" applyBorder="1"/>
    <xf numFmtId="3" fontId="0" fillId="0" borderId="0" xfId="0" applyNumberFormat="1" applyFill="1" applyProtection="1">
      <protection locked="0"/>
    </xf>
    <xf numFmtId="164" fontId="0" fillId="0" borderId="0" xfId="0" applyNumberFormat="1" applyProtection="1">
      <protection locked="0"/>
    </xf>
    <xf numFmtId="4" fontId="16" fillId="0" borderId="0" xfId="0" applyNumberFormat="1" applyFont="1" applyProtection="1">
      <protection locked="0"/>
    </xf>
    <xf numFmtId="4" fontId="17" fillId="0" borderId="0" xfId="0" applyNumberFormat="1" applyFont="1" applyFill="1" applyBorder="1"/>
    <xf numFmtId="4" fontId="5" fillId="0" borderId="0" xfId="0" applyNumberFormat="1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8" fillId="0" borderId="0" xfId="1" applyNumberFormat="1" applyFont="1" applyFill="1" applyProtection="1">
      <protection locked="0"/>
    </xf>
    <xf numFmtId="4" fontId="5" fillId="0" borderId="0" xfId="1" applyNumberFormat="1" applyFill="1" applyProtection="1">
      <protection locked="0"/>
    </xf>
    <xf numFmtId="4" fontId="5" fillId="0" borderId="1" xfId="1" applyNumberFormat="1" applyFill="1" applyBorder="1" applyProtection="1">
      <protection locked="0"/>
    </xf>
    <xf numFmtId="4" fontId="8" fillId="0" borderId="0" xfId="1" applyNumberFormat="1" applyFont="1" applyFill="1" applyBorder="1" applyProtection="1">
      <protection locked="0"/>
    </xf>
    <xf numFmtId="4" fontId="8" fillId="0" borderId="1" xfId="1" applyNumberFormat="1" applyFont="1" applyFill="1" applyBorder="1" applyProtection="1">
      <protection locked="0"/>
    </xf>
    <xf numFmtId="4" fontId="0" fillId="0" borderId="0" xfId="0" applyNumberFormat="1" applyFill="1" applyAlignment="1" applyProtection="1">
      <alignment horizontal="center"/>
      <protection locked="0"/>
    </xf>
    <xf numFmtId="4" fontId="14" fillId="0" borderId="0" xfId="0" applyNumberFormat="1" applyFont="1" applyFill="1" applyAlignment="1" applyProtection="1">
      <alignment horizontal="center"/>
      <protection locked="0"/>
    </xf>
    <xf numFmtId="4" fontId="9" fillId="0" borderId="0" xfId="0" applyNumberFormat="1" applyFont="1" applyFill="1" applyProtection="1">
      <protection locked="0"/>
    </xf>
    <xf numFmtId="4" fontId="5" fillId="0" borderId="1" xfId="1" applyNumberFormat="1" applyFill="1" applyBorder="1" applyAlignment="1" applyProtection="1">
      <alignment horizontal="right"/>
      <protection locked="0"/>
    </xf>
    <xf numFmtId="4" fontId="5" fillId="0" borderId="0" xfId="1" applyNumberFormat="1" applyFill="1" applyAlignment="1" applyProtection="1">
      <alignment horizontal="right"/>
      <protection locked="0"/>
    </xf>
    <xf numFmtId="4" fontId="5" fillId="0" borderId="5" xfId="1" applyNumberFormat="1" applyFill="1" applyBorder="1"/>
    <xf numFmtId="4" fontId="0" fillId="0" borderId="5" xfId="0" applyNumberFormat="1" applyFill="1" applyBorder="1" applyProtection="1">
      <protection locked="0"/>
    </xf>
    <xf numFmtId="4" fontId="5" fillId="0" borderId="2" xfId="1" applyNumberFormat="1" applyFill="1" applyBorder="1"/>
    <xf numFmtId="4" fontId="0" fillId="0" borderId="2" xfId="0" applyNumberFormat="1" applyFill="1" applyBorder="1" applyProtection="1">
      <protection locked="0"/>
    </xf>
    <xf numFmtId="0" fontId="14" fillId="0" borderId="0" xfId="2" applyFont="1" applyFill="1"/>
    <xf numFmtId="0" fontId="18" fillId="0" borderId="0" xfId="2" applyFont="1" applyFill="1"/>
    <xf numFmtId="0" fontId="11" fillId="0" borderId="0" xfId="2" applyFill="1"/>
    <xf numFmtId="4" fontId="7" fillId="0" borderId="0" xfId="0" applyNumberFormat="1" applyFont="1" applyFill="1" applyAlignment="1" applyProtection="1">
      <alignment horizontal="center" vertical="center"/>
      <protection locked="0"/>
    </xf>
    <xf numFmtId="4" fontId="19" fillId="0" borderId="0" xfId="1" applyNumberFormat="1" applyFont="1" applyFill="1"/>
    <xf numFmtId="4" fontId="0" fillId="0" borderId="0" xfId="1" applyNumberFormat="1" applyFont="1" applyFill="1" applyProtection="1">
      <protection locked="0"/>
    </xf>
    <xf numFmtId="4" fontId="0" fillId="0" borderId="1" xfId="1" applyNumberFormat="1" applyFont="1" applyFill="1" applyBorder="1" applyProtection="1">
      <protection locked="0"/>
    </xf>
    <xf numFmtId="4" fontId="0" fillId="0" borderId="0" xfId="0" applyNumberFormat="1" applyFont="1" applyFill="1" applyProtection="1">
      <protection locked="0"/>
    </xf>
    <xf numFmtId="0" fontId="20" fillId="0" borderId="0" xfId="2" applyFont="1" applyFill="1"/>
    <xf numFmtId="4" fontId="8" fillId="0" borderId="1" xfId="0" applyNumberFormat="1" applyFont="1" applyFill="1" applyBorder="1" applyProtection="1">
      <protection locked="0"/>
    </xf>
    <xf numFmtId="4" fontId="5" fillId="0" borderId="0" xfId="1" applyNumberFormat="1" applyFill="1" applyBorder="1" applyProtection="1">
      <protection locked="0"/>
    </xf>
    <xf numFmtId="4" fontId="8" fillId="0" borderId="0" xfId="0" applyNumberFormat="1" applyFont="1" applyFill="1" applyBorder="1" applyProtection="1">
      <protection locked="0"/>
    </xf>
    <xf numFmtId="4" fontId="8" fillId="0" borderId="21" xfId="0" applyNumberFormat="1" applyFont="1" applyFill="1" applyBorder="1" applyProtection="1">
      <protection locked="0"/>
    </xf>
    <xf numFmtId="4" fontId="9" fillId="0" borderId="0" xfId="0" applyNumberFormat="1" applyFont="1" applyFill="1" applyAlignment="1" applyProtection="1">
      <alignment horizontal="center"/>
      <protection locked="0"/>
    </xf>
    <xf numFmtId="4" fontId="9" fillId="0" borderId="0" xfId="1" applyNumberFormat="1" applyFont="1" applyFill="1" applyProtection="1">
      <protection locked="0"/>
    </xf>
    <xf numFmtId="0" fontId="8" fillId="0" borderId="0" xfId="0" applyFont="1" applyFill="1"/>
    <xf numFmtId="0" fontId="14" fillId="0" borderId="0" xfId="0" applyFont="1" applyFill="1"/>
    <xf numFmtId="49" fontId="0" fillId="0" borderId="5" xfId="0" applyNumberFormat="1" applyFill="1" applyBorder="1"/>
    <xf numFmtId="4" fontId="5" fillId="0" borderId="6" xfId="1" applyNumberFormat="1" applyFill="1" applyBorder="1"/>
    <xf numFmtId="4" fontId="5" fillId="0" borderId="8" xfId="1" applyNumberFormat="1" applyFill="1" applyBorder="1"/>
    <xf numFmtId="49" fontId="5" fillId="0" borderId="2" xfId="0" applyNumberFormat="1" applyFont="1" applyFill="1" applyBorder="1"/>
    <xf numFmtId="0" fontId="14" fillId="0" borderId="10" xfId="0" applyFont="1" applyFill="1" applyBorder="1" applyProtection="1">
      <protection locked="0"/>
    </xf>
    <xf numFmtId="4" fontId="14" fillId="0" borderId="10" xfId="0" applyNumberFormat="1" applyFont="1" applyFill="1" applyBorder="1" applyProtection="1">
      <protection locked="0"/>
    </xf>
    <xf numFmtId="4" fontId="14" fillId="0" borderId="11" xfId="0" applyNumberFormat="1" applyFont="1" applyFill="1" applyBorder="1" applyProtection="1">
      <protection locked="0"/>
    </xf>
    <xf numFmtId="0" fontId="21" fillId="0" borderId="0" xfId="0" applyFont="1" applyFill="1" applyProtection="1">
      <protection locked="0"/>
    </xf>
    <xf numFmtId="0" fontId="0" fillId="0" borderId="4" xfId="0" applyFill="1" applyBorder="1"/>
    <xf numFmtId="0" fontId="0" fillId="0" borderId="7" xfId="0" applyFill="1" applyBorder="1"/>
    <xf numFmtId="0" fontId="0" fillId="0" borderId="9" xfId="0" applyFill="1" applyBorder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9" fontId="2" fillId="0" borderId="0" xfId="3" applyNumberFormat="1" applyFont="1" applyBorder="1"/>
    <xf numFmtId="4" fontId="5" fillId="13" borderId="29" xfId="1" applyNumberFormat="1" applyFill="1" applyBorder="1"/>
    <xf numFmtId="164" fontId="0" fillId="0" borderId="0" xfId="0" applyNumberFormat="1" applyFill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3" applyNumberFormat="1" applyFont="1" applyBorder="1"/>
    <xf numFmtId="0" fontId="8" fillId="0" borderId="18" xfId="3" applyFont="1" applyBorder="1"/>
    <xf numFmtId="0" fontId="14" fillId="0" borderId="0" xfId="0" applyNumberFormat="1" applyFont="1" applyFill="1" applyAlignment="1">
      <alignment horizontal="center"/>
    </xf>
    <xf numFmtId="0" fontId="26" fillId="0" borderId="0" xfId="0" applyFont="1" applyFill="1" applyProtection="1">
      <protection locked="0"/>
    </xf>
    <xf numFmtId="0" fontId="26" fillId="0" borderId="0" xfId="2" applyFont="1" applyFill="1"/>
    <xf numFmtId="4" fontId="26" fillId="0" borderId="0" xfId="0" applyNumberFormat="1" applyFont="1" applyFill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Fill="1" applyBorder="1" applyProtection="1">
      <protection locked="0"/>
    </xf>
    <xf numFmtId="0" fontId="26" fillId="0" borderId="0" xfId="0" applyFont="1" applyFill="1" applyBorder="1" applyProtection="1">
      <protection locked="0"/>
    </xf>
    <xf numFmtId="44" fontId="8" fillId="0" borderId="0" xfId="0" applyNumberFormat="1" applyFont="1" applyFill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0" xfId="2" quotePrefix="1" applyFont="1" applyFill="1"/>
    <xf numFmtId="4" fontId="5" fillId="0" borderId="21" xfId="1" applyNumberFormat="1" applyFill="1" applyBorder="1" applyProtection="1">
      <protection locked="0"/>
    </xf>
    <xf numFmtId="4" fontId="28" fillId="0" borderId="5" xfId="6" applyNumberFormat="1" applyFill="1" applyBorder="1" applyProtection="1">
      <protection locked="0"/>
    </xf>
    <xf numFmtId="4" fontId="28" fillId="0" borderId="2" xfId="6" applyNumberFormat="1" applyFill="1" applyBorder="1" applyProtection="1">
      <protection locked="0"/>
    </xf>
    <xf numFmtId="4" fontId="28" fillId="0" borderId="2" xfId="6" applyNumberFormat="1" applyFill="1" applyBorder="1" applyProtection="1">
      <protection locked="0"/>
    </xf>
    <xf numFmtId="0" fontId="5" fillId="0" borderId="0" xfId="2" quotePrefix="1" applyFont="1" applyFill="1" applyAlignment="1">
      <alignment wrapText="1"/>
    </xf>
    <xf numFmtId="0" fontId="5" fillId="0" borderId="0" xfId="2" quotePrefix="1" applyFont="1" applyFill="1" applyAlignment="1"/>
    <xf numFmtId="4" fontId="14" fillId="0" borderId="28" xfId="1" applyNumberFormat="1" applyFont="1" applyBorder="1" applyAlignment="1">
      <alignment horizontal="center"/>
    </xf>
    <xf numFmtId="4" fontId="14" fillId="0" borderId="24" xfId="1" applyNumberFormat="1" applyFont="1" applyBorder="1" applyAlignment="1">
      <alignment horizontal="center"/>
    </xf>
    <xf numFmtId="4" fontId="14" fillId="0" borderId="25" xfId="1" applyNumberFormat="1" applyFont="1" applyBorder="1" applyAlignment="1">
      <alignment horizontal="center"/>
    </xf>
    <xf numFmtId="0" fontId="14" fillId="0" borderId="28" xfId="1" applyNumberFormat="1" applyFont="1" applyBorder="1" applyAlignment="1">
      <alignment horizontal="center"/>
    </xf>
    <xf numFmtId="0" fontId="14" fillId="0" borderId="24" xfId="1" applyNumberFormat="1" applyFont="1" applyBorder="1" applyAlignment="1">
      <alignment horizontal="center"/>
    </xf>
    <xf numFmtId="0" fontId="14" fillId="0" borderId="25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" fontId="5" fillId="0" borderId="0" xfId="1" applyNumberFormat="1" applyFill="1" applyAlignment="1" applyProtection="1">
      <alignment horizontal="right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/>
      <protection locked="0"/>
    </xf>
    <xf numFmtId="4" fontId="14" fillId="0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wrapText="1"/>
      <protection locked="0"/>
    </xf>
    <xf numFmtId="4" fontId="14" fillId="0" borderId="3" xfId="0" applyNumberFormat="1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</cellXfs>
  <cellStyles count="9">
    <cellStyle name="Komma" xfId="1" builtinId="3"/>
    <cellStyle name="Komma 2" xfId="5" xr:uid="{6DA1751D-71BD-4D1B-8A04-ECD4371267E4}"/>
    <cellStyle name="Komma 3" xfId="7" xr:uid="{CFE8D684-0B9D-4CE4-A5C8-EF19AD2503C6}"/>
    <cellStyle name="Normal" xfId="0" builtinId="0"/>
    <cellStyle name="Normal 2" xfId="3" xr:uid="{00000000-0005-0000-0000-000002000000}"/>
    <cellStyle name="Normal 2 2" xfId="8" xr:uid="{90D97C82-3C1E-482F-8FBA-BE1905800984}"/>
    <cellStyle name="Normal 3" xfId="4" xr:uid="{F92D96DF-C10E-48EE-9B1A-3F85628A98AA}"/>
    <cellStyle name="Normal 4" xfId="6" xr:uid="{DE30D99D-06FB-4EFE-BF8B-9B6595E6086C}"/>
    <cellStyle name="Normal_Noter til regnskapet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79</xdr:row>
      <xdr:rowOff>30480</xdr:rowOff>
    </xdr:from>
    <xdr:to>
      <xdr:col>0</xdr:col>
      <xdr:colOff>2118360</xdr:colOff>
      <xdr:row>83</xdr:row>
      <xdr:rowOff>15240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301BE91-59D0-4EEA-B454-FCC589AF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14790420"/>
          <a:ext cx="15011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2354580</xdr:colOff>
      <xdr:row>79</xdr:row>
      <xdr:rowOff>167640</xdr:rowOff>
    </xdr:from>
    <xdr:to>
      <xdr:col>2</xdr:col>
      <xdr:colOff>891540</xdr:colOff>
      <xdr:row>82</xdr:row>
      <xdr:rowOff>167640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E229D37-7257-478F-8E80-FEB54B5F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14927580"/>
          <a:ext cx="151638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1059180</xdr:colOff>
      <xdr:row>79</xdr:row>
      <xdr:rowOff>22860</xdr:rowOff>
    </xdr:from>
    <xdr:to>
      <xdr:col>4</xdr:col>
      <xdr:colOff>198120</xdr:colOff>
      <xdr:row>82</xdr:row>
      <xdr:rowOff>129540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F436197-2565-4B2E-BE8E-108DC8B3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4782800"/>
          <a:ext cx="12877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594360</xdr:colOff>
      <xdr:row>84</xdr:row>
      <xdr:rowOff>15240</xdr:rowOff>
    </xdr:from>
    <xdr:to>
      <xdr:col>0</xdr:col>
      <xdr:colOff>2141220</xdr:colOff>
      <xdr:row>87</xdr:row>
      <xdr:rowOff>175260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5B7467C-6FDD-40EC-B89B-2E9657CC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5659100"/>
          <a:ext cx="15468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2415540</xdr:colOff>
      <xdr:row>84</xdr:row>
      <xdr:rowOff>99060</xdr:rowOff>
    </xdr:from>
    <xdr:to>
      <xdr:col>2</xdr:col>
      <xdr:colOff>876300</xdr:colOff>
      <xdr:row>88</xdr:row>
      <xdr:rowOff>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E586F29E-048E-4008-AC80-6480D0E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15742920"/>
          <a:ext cx="14401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84</xdr:row>
      <xdr:rowOff>91440</xdr:rowOff>
    </xdr:from>
    <xdr:to>
      <xdr:col>4</xdr:col>
      <xdr:colOff>403860</xdr:colOff>
      <xdr:row>87</xdr:row>
      <xdr:rowOff>137160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F13459C6-D50C-4A4D-BFDB-BB319A70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15735300"/>
          <a:ext cx="14401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693420</xdr:colOff>
      <xdr:row>90</xdr:row>
      <xdr:rowOff>22860</xdr:rowOff>
    </xdr:from>
    <xdr:to>
      <xdr:col>0</xdr:col>
      <xdr:colOff>1958340</xdr:colOff>
      <xdr:row>92</xdr:row>
      <xdr:rowOff>45720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F4532088-23F6-4B8F-AB94-F96D5F9A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16703040"/>
          <a:ext cx="126492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2263140</xdr:colOff>
      <xdr:row>89</xdr:row>
      <xdr:rowOff>99060</xdr:rowOff>
    </xdr:from>
    <xdr:to>
      <xdr:col>2</xdr:col>
      <xdr:colOff>922020</xdr:colOff>
      <xdr:row>92</xdr:row>
      <xdr:rowOff>114300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CB87BEA2-0C23-48E0-9348-BE559FF8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16611600"/>
          <a:ext cx="16383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90</xdr:row>
      <xdr:rowOff>91440</xdr:rowOff>
    </xdr:from>
    <xdr:to>
      <xdr:col>4</xdr:col>
      <xdr:colOff>312420</xdr:colOff>
      <xdr:row>92</xdr:row>
      <xdr:rowOff>30480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6D88C456-ECCA-4302-9EDD-2D2F26D0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6771620"/>
          <a:ext cx="128778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2CA1-2CE4-4BCA-9D8D-87D13194EA0C}">
  <dimension ref="A1:AB278"/>
  <sheetViews>
    <sheetView zoomScaleNormal="100"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D24" sqref="D24"/>
    </sheetView>
  </sheetViews>
  <sheetFormatPr baseColWidth="10" defaultColWidth="11.5546875" defaultRowHeight="13.2"/>
  <cols>
    <col min="2" max="2" width="56.33203125" bestFit="1" customWidth="1"/>
    <col min="3" max="3" width="13.88671875" style="23" bestFit="1" customWidth="1"/>
    <col min="4" max="5" width="13.88671875" bestFit="1" customWidth="1"/>
    <col min="6" max="6" width="15.5546875" style="131" bestFit="1" customWidth="1"/>
    <col min="7" max="7" width="13.88671875" style="131" bestFit="1" customWidth="1"/>
    <col min="8" max="8" width="13.88671875" bestFit="1" customWidth="1"/>
    <col min="9" max="9" width="13.33203125" bestFit="1" customWidth="1"/>
    <col min="10" max="10" width="13.109375" customWidth="1"/>
    <col min="11" max="11" width="13.33203125" bestFit="1" customWidth="1"/>
  </cols>
  <sheetData>
    <row r="1" spans="1:28" ht="21" customHeight="1">
      <c r="A1" s="208" t="s">
        <v>970</v>
      </c>
      <c r="B1" s="209"/>
      <c r="C1" s="369" t="s">
        <v>971</v>
      </c>
      <c r="D1" s="370"/>
      <c r="E1" s="371"/>
      <c r="F1" s="372" t="s">
        <v>930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74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10432086.34</v>
      </c>
      <c r="D5" s="206"/>
      <c r="E5" s="214"/>
      <c r="F5" s="241">
        <v>10645348.75</v>
      </c>
      <c r="G5" s="206"/>
      <c r="H5" s="214"/>
      <c r="I5" s="1">
        <f t="shared" si="0"/>
        <v>-213262.41000000015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11719876.34</v>
      </c>
      <c r="E6" s="214"/>
      <c r="F6" s="241">
        <v>0</v>
      </c>
      <c r="G6" s="206">
        <f>SUM(F4:F6)</f>
        <v>11933138.75</v>
      </c>
      <c r="H6" s="214"/>
      <c r="I6" s="1">
        <f t="shared" si="0"/>
        <v>0</v>
      </c>
      <c r="J6" s="1">
        <f t="shared" si="0"/>
        <v>-213262.41000000015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153124.76999999999</v>
      </c>
      <c r="D7" s="206"/>
      <c r="E7" s="214"/>
      <c r="F7" s="242">
        <v>218749.85</v>
      </c>
      <c r="G7" s="206"/>
      <c r="H7" s="214"/>
      <c r="I7" s="1">
        <f t="shared" si="0"/>
        <v>-65625.080000000016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1240</v>
      </c>
      <c r="B8" s="213" t="s">
        <v>984</v>
      </c>
      <c r="C8" s="242">
        <v>26500</v>
      </c>
      <c r="D8" s="206"/>
      <c r="E8" s="214"/>
      <c r="F8" s="242">
        <v>0</v>
      </c>
      <c r="G8" s="206"/>
      <c r="H8" s="214"/>
      <c r="I8" s="1">
        <f t="shared" si="0"/>
        <v>26500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1250</v>
      </c>
      <c r="B9" s="213" t="s">
        <v>14</v>
      </c>
      <c r="C9" s="242">
        <v>234250.26</v>
      </c>
      <c r="D9" s="206"/>
      <c r="E9" s="214"/>
      <c r="F9" s="242">
        <v>288333.68</v>
      </c>
      <c r="G9" s="206"/>
      <c r="H9" s="214"/>
      <c r="I9" s="1">
        <f t="shared" si="0"/>
        <v>-54083.419999999984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1251</v>
      </c>
      <c r="B10" s="213" t="s">
        <v>688</v>
      </c>
      <c r="C10" s="242">
        <v>0</v>
      </c>
      <c r="D10" s="206"/>
      <c r="E10" s="214"/>
      <c r="F10" s="242">
        <v>0</v>
      </c>
      <c r="G10" s="206"/>
      <c r="H10" s="214"/>
      <c r="I10" s="1">
        <f t="shared" si="0"/>
        <v>0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1252</v>
      </c>
      <c r="B11" s="213" t="s">
        <v>689</v>
      </c>
      <c r="C11" s="242">
        <v>0</v>
      </c>
      <c r="D11" s="206"/>
      <c r="E11" s="214"/>
      <c r="F11" s="242">
        <v>0</v>
      </c>
      <c r="G11" s="206"/>
      <c r="H11" s="214"/>
      <c r="I11" s="1">
        <f t="shared" si="0"/>
        <v>0</v>
      </c>
      <c r="J11" s="1">
        <f t="shared" si="0"/>
        <v>0</v>
      </c>
      <c r="K11" s="1">
        <f t="shared" si="0"/>
        <v>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1253</v>
      </c>
      <c r="B12" s="213" t="s">
        <v>690</v>
      </c>
      <c r="C12" s="242">
        <v>0</v>
      </c>
      <c r="D12" s="232"/>
      <c r="E12" s="214">
        <f>SUM(D3:D12)</f>
        <v>11719876.34</v>
      </c>
      <c r="F12" s="242">
        <v>0</v>
      </c>
      <c r="G12" s="232"/>
      <c r="H12" s="214">
        <f>SUM(G3:G12)</f>
        <v>11933138.75</v>
      </c>
      <c r="I12" s="1">
        <f t="shared" si="0"/>
        <v>0</v>
      </c>
      <c r="J12" s="1">
        <f t="shared" si="0"/>
        <v>0</v>
      </c>
      <c r="K12" s="1">
        <f t="shared" si="0"/>
        <v>-213262.41000000015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1254</v>
      </c>
      <c r="B13" s="213" t="s">
        <v>864</v>
      </c>
      <c r="C13" s="242">
        <v>17194.28</v>
      </c>
      <c r="D13" s="232"/>
      <c r="E13" s="214"/>
      <c r="F13" s="242">
        <v>25791.43</v>
      </c>
      <c r="G13" s="232"/>
      <c r="H13" s="214"/>
      <c r="I13" s="1">
        <f t="shared" si="0"/>
        <v>-8597.1500000000015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1255</v>
      </c>
      <c r="B14" s="213" t="s">
        <v>898</v>
      </c>
      <c r="C14" s="242">
        <v>630921.56999999995</v>
      </c>
      <c r="D14" s="232"/>
      <c r="E14" s="214"/>
      <c r="F14" s="242">
        <v>115128.82</v>
      </c>
      <c r="G14" s="232"/>
      <c r="H14" s="214"/>
      <c r="I14" s="1">
        <f t="shared" si="0"/>
        <v>515792.74999999994</v>
      </c>
      <c r="J14" s="1">
        <f t="shared" si="0"/>
        <v>0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1258</v>
      </c>
      <c r="B15" s="213" t="s">
        <v>985</v>
      </c>
      <c r="C15" s="242">
        <v>281888</v>
      </c>
      <c r="D15" s="232"/>
      <c r="E15" s="214"/>
      <c r="F15" s="242">
        <v>0</v>
      </c>
      <c r="G15" s="232"/>
      <c r="H15" s="214"/>
      <c r="I15" s="1">
        <f t="shared" si="0"/>
        <v>281888</v>
      </c>
      <c r="J15" s="1">
        <f t="shared" si="0"/>
        <v>0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1280</v>
      </c>
      <c r="B16" s="213" t="s">
        <v>828</v>
      </c>
      <c r="C16" s="242">
        <v>0</v>
      </c>
      <c r="D16" s="225">
        <f>SUM(C7:C16)</f>
        <v>1343878.88</v>
      </c>
      <c r="E16" s="214"/>
      <c r="F16" s="242">
        <v>0</v>
      </c>
      <c r="G16" s="225">
        <f>SUM(F7:F16)</f>
        <v>648003.78</v>
      </c>
      <c r="H16" s="214"/>
      <c r="I16" s="1">
        <f t="shared" si="0"/>
        <v>0</v>
      </c>
      <c r="J16" s="1">
        <f t="shared" si="0"/>
        <v>695875.09999999986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1465</v>
      </c>
      <c r="B17" s="213" t="s">
        <v>18</v>
      </c>
      <c r="C17" s="241">
        <v>122430.59</v>
      </c>
      <c r="D17" s="206">
        <f>C17</f>
        <v>122430.59</v>
      </c>
      <c r="E17" s="214"/>
      <c r="F17" s="241">
        <v>130242.38</v>
      </c>
      <c r="G17" s="206">
        <f>F17</f>
        <v>130242.38</v>
      </c>
      <c r="H17" s="214"/>
      <c r="I17" s="1">
        <f t="shared" si="0"/>
        <v>-7811.7900000000081</v>
      </c>
      <c r="J17" s="1">
        <f t="shared" si="0"/>
        <v>-7811.7900000000081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350">
        <v>1480</v>
      </c>
      <c r="B18" s="349" t="s">
        <v>762</v>
      </c>
      <c r="C18" s="243">
        <v>0</v>
      </c>
      <c r="D18" s="206"/>
      <c r="E18" s="214"/>
      <c r="F18" s="241">
        <v>0</v>
      </c>
      <c r="G18" s="206"/>
      <c r="H18" s="214"/>
      <c r="I18" s="1">
        <f t="shared" si="0"/>
        <v>0</v>
      </c>
      <c r="J18" s="1">
        <f t="shared" si="0"/>
        <v>0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1500</v>
      </c>
      <c r="B19" s="213" t="s">
        <v>552</v>
      </c>
      <c r="C19" s="243">
        <v>28104</v>
      </c>
      <c r="D19" s="206"/>
      <c r="E19" s="214"/>
      <c r="F19" s="243">
        <v>0</v>
      </c>
      <c r="G19" s="226"/>
      <c r="H19" s="214"/>
      <c r="I19" s="1">
        <f t="shared" si="0"/>
        <v>28104</v>
      </c>
      <c r="J19" s="1">
        <f t="shared" si="0"/>
        <v>0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1579</v>
      </c>
      <c r="B20" s="213" t="s">
        <v>26</v>
      </c>
      <c r="C20" s="243">
        <v>6365.15</v>
      </c>
      <c r="D20" s="206"/>
      <c r="E20" s="214"/>
      <c r="F20" s="243">
        <v>56318.69</v>
      </c>
      <c r="G20" s="226"/>
      <c r="H20" s="214"/>
      <c r="I20" s="1">
        <f t="shared" si="0"/>
        <v>-49953.54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1580</v>
      </c>
      <c r="B21" s="213" t="s">
        <v>553</v>
      </c>
      <c r="C21" s="243">
        <v>0</v>
      </c>
      <c r="D21" s="227">
        <f>SUM(C18:C21)</f>
        <v>34469.15</v>
      </c>
      <c r="E21" s="214"/>
      <c r="F21" s="243">
        <v>0</v>
      </c>
      <c r="G21" s="227">
        <f>SUM(F18:F21)</f>
        <v>56318.69</v>
      </c>
      <c r="H21" s="214"/>
      <c r="I21" s="1">
        <f t="shared" si="0"/>
        <v>0</v>
      </c>
      <c r="J21" s="1">
        <f t="shared" si="0"/>
        <v>-21849.54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1530</v>
      </c>
      <c r="B22" s="213" t="s">
        <v>554</v>
      </c>
      <c r="C22" s="244">
        <v>0</v>
      </c>
      <c r="D22" s="206"/>
      <c r="E22" s="214"/>
      <c r="F22" s="244">
        <v>0</v>
      </c>
      <c r="G22" s="206"/>
      <c r="H22" s="214"/>
      <c r="I22" s="1">
        <f t="shared" si="0"/>
        <v>0</v>
      </c>
      <c r="J22" s="1">
        <f t="shared" si="0"/>
        <v>0</v>
      </c>
      <c r="K22" s="1">
        <f t="shared" si="0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1571</v>
      </c>
      <c r="B23" s="213" t="s">
        <v>691</v>
      </c>
      <c r="C23" s="244">
        <v>0</v>
      </c>
      <c r="D23" s="206"/>
      <c r="E23" s="214"/>
      <c r="F23" s="244">
        <v>0</v>
      </c>
      <c r="G23" s="206"/>
      <c r="H23" s="214"/>
      <c r="I23" s="1">
        <f t="shared" si="0"/>
        <v>0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1572</v>
      </c>
      <c r="B24" s="213" t="s">
        <v>829</v>
      </c>
      <c r="C24" s="244">
        <v>0</v>
      </c>
      <c r="D24" s="206"/>
      <c r="E24" s="214"/>
      <c r="F24" s="244">
        <v>0</v>
      </c>
      <c r="G24" s="206"/>
      <c r="H24" s="214"/>
      <c r="I24" s="1">
        <f t="shared" si="0"/>
        <v>0</v>
      </c>
      <c r="J24" s="1">
        <f t="shared" si="0"/>
        <v>0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1590</v>
      </c>
      <c r="B25" s="213" t="s">
        <v>967</v>
      </c>
      <c r="C25" s="244">
        <v>0</v>
      </c>
      <c r="D25" s="206"/>
      <c r="E25" s="214"/>
      <c r="F25" s="244">
        <v>0</v>
      </c>
      <c r="G25" s="206"/>
      <c r="H25" s="214"/>
      <c r="I25" s="1">
        <f t="shared" si="0"/>
        <v>0</v>
      </c>
      <c r="J25" s="1">
        <f t="shared" si="0"/>
        <v>0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1700</v>
      </c>
      <c r="B26" s="213" t="s">
        <v>32</v>
      </c>
      <c r="C26" s="244">
        <v>48201</v>
      </c>
      <c r="D26" s="206"/>
      <c r="E26" s="214"/>
      <c r="F26" s="244">
        <v>0</v>
      </c>
      <c r="G26" s="206"/>
      <c r="H26" s="214"/>
      <c r="I26" s="1">
        <f t="shared" si="0"/>
        <v>48201</v>
      </c>
      <c r="J26" s="1">
        <f t="shared" si="0"/>
        <v>0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1720</v>
      </c>
      <c r="B27" s="213" t="s">
        <v>692</v>
      </c>
      <c r="C27" s="244">
        <v>0</v>
      </c>
      <c r="D27" s="206"/>
      <c r="E27" s="214"/>
      <c r="F27" s="244">
        <v>0</v>
      </c>
      <c r="G27" s="206"/>
      <c r="H27" s="214"/>
      <c r="I27" s="1">
        <f t="shared" si="0"/>
        <v>0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1749</v>
      </c>
      <c r="B28" s="213" t="s">
        <v>556</v>
      </c>
      <c r="C28" s="244">
        <v>26524.15</v>
      </c>
      <c r="D28" s="228">
        <f>SUM(C22:C28)</f>
        <v>74725.149999999994</v>
      </c>
      <c r="E28" s="214"/>
      <c r="F28" s="244">
        <v>29054.15</v>
      </c>
      <c r="G28" s="228">
        <f>SUM(F22:F28)</f>
        <v>29054.15</v>
      </c>
      <c r="H28" s="214"/>
      <c r="I28" s="1">
        <f t="shared" si="0"/>
        <v>-2530</v>
      </c>
      <c r="J28" s="1">
        <f t="shared" si="0"/>
        <v>45670.999999999993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1910</v>
      </c>
      <c r="B29" s="213" t="s">
        <v>36</v>
      </c>
      <c r="C29" s="241">
        <v>9060.5</v>
      </c>
      <c r="D29" s="206"/>
      <c r="E29" s="214"/>
      <c r="F29" s="241">
        <v>8060.5</v>
      </c>
      <c r="G29" s="206"/>
      <c r="H29" s="214"/>
      <c r="I29" s="1">
        <f t="shared" si="0"/>
        <v>1000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1920</v>
      </c>
      <c r="B30" s="213" t="s">
        <v>557</v>
      </c>
      <c r="C30" s="241">
        <v>5016060.26</v>
      </c>
      <c r="D30" s="206"/>
      <c r="E30" s="214"/>
      <c r="F30" s="241">
        <v>3866353.36</v>
      </c>
      <c r="G30" s="206"/>
      <c r="H30" s="214"/>
      <c r="I30" s="1">
        <f t="shared" si="0"/>
        <v>1149706.8999999999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1921</v>
      </c>
      <c r="B31" s="213" t="s">
        <v>693</v>
      </c>
      <c r="C31" s="241">
        <v>4048.84</v>
      </c>
      <c r="D31" s="206"/>
      <c r="E31" s="214"/>
      <c r="F31" s="241">
        <v>4048.84</v>
      </c>
      <c r="G31" s="206"/>
      <c r="H31" s="214"/>
      <c r="I31" s="1">
        <f t="shared" si="0"/>
        <v>0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1923</v>
      </c>
      <c r="B32" s="213" t="s">
        <v>830</v>
      </c>
      <c r="C32" s="241">
        <v>504855.37</v>
      </c>
      <c r="D32" s="206"/>
      <c r="E32" s="214"/>
      <c r="F32" s="241">
        <v>504057.16</v>
      </c>
      <c r="G32" s="206"/>
      <c r="H32" s="214"/>
      <c r="I32" s="1">
        <f t="shared" si="0"/>
        <v>798.21000000002095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 ht="14.4">
      <c r="A33" s="215">
        <v>1922</v>
      </c>
      <c r="B33" s="216" t="s">
        <v>763</v>
      </c>
      <c r="C33" s="241">
        <v>4511.37</v>
      </c>
      <c r="D33" s="206"/>
      <c r="E33" s="214"/>
      <c r="F33" s="241">
        <v>4511.37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1930</v>
      </c>
      <c r="B34" s="213" t="s">
        <v>558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1931</v>
      </c>
      <c r="B35" s="213" t="s">
        <v>559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1932</v>
      </c>
      <c r="B36" s="213" t="s">
        <v>831</v>
      </c>
      <c r="C36" s="241">
        <v>218041.96</v>
      </c>
      <c r="D36" s="206"/>
      <c r="E36" s="214"/>
      <c r="F36" s="241">
        <v>218041.96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1936</v>
      </c>
      <c r="B37" s="213" t="s">
        <v>560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1938</v>
      </c>
      <c r="B38" s="213" t="s">
        <v>44</v>
      </c>
      <c r="C38" s="241">
        <v>0</v>
      </c>
      <c r="D38" s="206"/>
      <c r="E38" s="214"/>
      <c r="F38" s="241">
        <v>0</v>
      </c>
      <c r="G38" s="206"/>
      <c r="H38" s="214"/>
      <c r="I38" s="1">
        <f t="shared" si="0"/>
        <v>0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1940</v>
      </c>
      <c r="B39" s="213" t="s">
        <v>561</v>
      </c>
      <c r="C39" s="241">
        <v>0</v>
      </c>
      <c r="D39" s="206"/>
      <c r="E39" s="214"/>
      <c r="F39" s="241">
        <v>0</v>
      </c>
      <c r="G39" s="206"/>
      <c r="H39" s="214"/>
      <c r="I39" s="1">
        <f t="shared" si="0"/>
        <v>0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1945</v>
      </c>
      <c r="B40" s="213" t="s">
        <v>48</v>
      </c>
      <c r="C40" s="241">
        <v>0</v>
      </c>
      <c r="D40" s="206"/>
      <c r="E40" s="214"/>
      <c r="F40" s="241">
        <v>0</v>
      </c>
      <c r="G40" s="206"/>
      <c r="H40" s="214"/>
      <c r="I40" s="1">
        <f t="shared" si="0"/>
        <v>0</v>
      </c>
      <c r="J40" s="1">
        <f t="shared" si="0"/>
        <v>0</v>
      </c>
      <c r="K40" s="1">
        <f t="shared" si="0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1946</v>
      </c>
      <c r="B41" s="213" t="s">
        <v>50</v>
      </c>
      <c r="C41" s="241">
        <v>0</v>
      </c>
      <c r="D41" s="206"/>
      <c r="E41" s="214"/>
      <c r="F41" s="241">
        <v>0</v>
      </c>
      <c r="G41" s="206"/>
      <c r="H41" s="214"/>
      <c r="I41" s="1">
        <f t="shared" si="0"/>
        <v>0</v>
      </c>
      <c r="J41" s="1">
        <f t="shared" si="0"/>
        <v>0</v>
      </c>
      <c r="K41" s="1">
        <f t="shared" si="0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1950</v>
      </c>
      <c r="B42" s="213" t="s">
        <v>562</v>
      </c>
      <c r="C42" s="241">
        <v>16983.18</v>
      </c>
      <c r="D42" s="206"/>
      <c r="E42" s="214"/>
      <c r="F42" s="241">
        <v>14988.18</v>
      </c>
      <c r="G42" s="206"/>
      <c r="H42" s="214"/>
      <c r="I42" s="1">
        <f t="shared" si="0"/>
        <v>1995</v>
      </c>
      <c r="J42" s="1">
        <f t="shared" si="0"/>
        <v>0</v>
      </c>
      <c r="K42" s="1">
        <f t="shared" si="0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1952</v>
      </c>
      <c r="B43" s="213" t="s">
        <v>563</v>
      </c>
      <c r="C43" s="241">
        <v>0</v>
      </c>
      <c r="D43" s="206"/>
      <c r="E43" s="214"/>
      <c r="F43" s="241">
        <v>0</v>
      </c>
      <c r="G43" s="206"/>
      <c r="H43" s="214"/>
      <c r="I43" s="1">
        <f t="shared" si="0"/>
        <v>0</v>
      </c>
      <c r="J43" s="1">
        <f t="shared" si="0"/>
        <v>0</v>
      </c>
      <c r="K43" s="1">
        <f t="shared" si="0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1962</v>
      </c>
      <c r="B44" s="213" t="s">
        <v>564</v>
      </c>
      <c r="C44" s="260">
        <v>0</v>
      </c>
      <c r="D44" s="207">
        <f>SUM(C29:C44)</f>
        <v>5773561.4799999995</v>
      </c>
      <c r="E44" s="259">
        <f>SUM(D17:D44)</f>
        <v>6005186.3699999992</v>
      </c>
      <c r="F44" s="260">
        <v>0</v>
      </c>
      <c r="G44" s="207">
        <f>SUM(F29:F44)</f>
        <v>4620061.3699999992</v>
      </c>
      <c r="H44" s="259">
        <f>SUM(G17:G44)</f>
        <v>4835676.5899999989</v>
      </c>
      <c r="I44" s="1">
        <f t="shared" si="0"/>
        <v>0</v>
      </c>
      <c r="J44" s="1">
        <f t="shared" si="0"/>
        <v>1153500.1100000003</v>
      </c>
      <c r="K44" s="1">
        <f t="shared" si="0"/>
        <v>1169509.7800000003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/>
      <c r="B45" s="218" t="s">
        <v>819</v>
      </c>
      <c r="C45" s="241">
        <f>SUM(C3:C44)</f>
        <v>19068941.59</v>
      </c>
      <c r="D45" s="206"/>
      <c r="E45" s="214">
        <f>SUM(E12:E44)</f>
        <v>17725062.710000001</v>
      </c>
      <c r="F45" s="241">
        <f>SUM(F3:F44)</f>
        <v>17416819.120000001</v>
      </c>
      <c r="G45" s="206"/>
      <c r="H45" s="214">
        <f>SUM(H44,H12)</f>
        <v>16768815.34</v>
      </c>
      <c r="I45" s="1">
        <f t="shared" si="0"/>
        <v>1652122.4699999988</v>
      </c>
      <c r="J45" s="1">
        <f t="shared" si="0"/>
        <v>0</v>
      </c>
      <c r="K45" s="1">
        <f t="shared" si="0"/>
        <v>956247.37000000104</v>
      </c>
      <c r="L45" s="27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/>
      <c r="B46" s="213"/>
      <c r="C46" s="241" t="s">
        <v>374</v>
      </c>
      <c r="D46" s="206"/>
      <c r="E46" s="214"/>
      <c r="F46" s="241"/>
      <c r="G46" s="206"/>
      <c r="H46" s="214"/>
      <c r="I46" s="1"/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2001</v>
      </c>
      <c r="B47" s="213" t="s">
        <v>566</v>
      </c>
      <c r="C47" s="242">
        <v>-42639.46</v>
      </c>
      <c r="D47" s="206"/>
      <c r="E47" s="214"/>
      <c r="F47" s="241">
        <v>-41149.94</v>
      </c>
      <c r="G47" s="206"/>
      <c r="H47" s="214"/>
      <c r="I47" s="1">
        <f t="shared" si="0"/>
        <v>-1489.5199999999968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2002</v>
      </c>
      <c r="B48" s="213" t="s">
        <v>58</v>
      </c>
      <c r="C48" s="242">
        <v>-57260.97</v>
      </c>
      <c r="D48" s="206"/>
      <c r="E48" s="214"/>
      <c r="F48" s="241">
        <v>-26873.55</v>
      </c>
      <c r="G48" s="206"/>
      <c r="H48" s="214"/>
      <c r="I48" s="1">
        <f t="shared" si="0"/>
        <v>-30387.420000000002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2003</v>
      </c>
      <c r="B49" s="213" t="s">
        <v>60</v>
      </c>
      <c r="C49" s="242">
        <v>-130042.27</v>
      </c>
      <c r="D49" s="206"/>
      <c r="E49" s="214"/>
      <c r="F49" s="241">
        <v>-17229.84</v>
      </c>
      <c r="G49" s="206"/>
      <c r="H49" s="214"/>
      <c r="I49" s="1">
        <f t="shared" si="0"/>
        <v>-112812.43000000001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2004</v>
      </c>
      <c r="B50" s="213" t="s">
        <v>62</v>
      </c>
      <c r="C50" s="242">
        <v>-55519.9</v>
      </c>
      <c r="D50" s="206"/>
      <c r="E50" s="214"/>
      <c r="F50" s="241">
        <v>-56470.32</v>
      </c>
      <c r="G50" s="206"/>
      <c r="H50" s="214"/>
      <c r="I50" s="1">
        <f t="shared" si="0"/>
        <v>950.41999999999825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2005</v>
      </c>
      <c r="B51" s="213" t="s">
        <v>64</v>
      </c>
      <c r="C51" s="242">
        <v>14122.66</v>
      </c>
      <c r="D51" s="206"/>
      <c r="E51" s="214"/>
      <c r="F51" s="241">
        <v>15210.78</v>
      </c>
      <c r="G51" s="206"/>
      <c r="H51" s="214"/>
      <c r="I51" s="1">
        <f t="shared" si="0"/>
        <v>-1088.1200000000008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2006</v>
      </c>
      <c r="B52" s="213" t="s">
        <v>66</v>
      </c>
      <c r="C52" s="242">
        <v>-118642.57</v>
      </c>
      <c r="D52" s="206"/>
      <c r="E52" s="214"/>
      <c r="F52" s="241">
        <v>-96702.54</v>
      </c>
      <c r="G52" s="206"/>
      <c r="H52" s="214"/>
      <c r="I52" s="1">
        <f t="shared" si="0"/>
        <v>-21940.030000000013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2007</v>
      </c>
      <c r="B53" s="213" t="s">
        <v>68</v>
      </c>
      <c r="C53" s="242">
        <v>-43301.7</v>
      </c>
      <c r="D53" s="206"/>
      <c r="E53" s="214"/>
      <c r="F53" s="241">
        <v>-35109.1</v>
      </c>
      <c r="G53" s="206"/>
      <c r="H53" s="214"/>
      <c r="I53" s="1">
        <f t="shared" si="0"/>
        <v>-8192.5999999999985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2008</v>
      </c>
      <c r="B54" s="213" t="s">
        <v>70</v>
      </c>
      <c r="C54" s="242">
        <v>20268.29</v>
      </c>
      <c r="D54" s="206"/>
      <c r="E54" s="214"/>
      <c r="F54" s="241">
        <v>19459.95</v>
      </c>
      <c r="G54" s="206"/>
      <c r="H54" s="214"/>
      <c r="I54" s="1">
        <f t="shared" si="0"/>
        <v>808.34000000000015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2009</v>
      </c>
      <c r="B55" s="213" t="s">
        <v>567</v>
      </c>
      <c r="C55" s="242">
        <v>-495703.83</v>
      </c>
      <c r="D55" s="206"/>
      <c r="E55" s="214"/>
      <c r="F55" s="241">
        <v>-166716.51999999999</v>
      </c>
      <c r="G55" s="206"/>
      <c r="H55" s="214"/>
      <c r="I55" s="1">
        <f t="shared" si="0"/>
        <v>-328987.31000000006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2010</v>
      </c>
      <c r="B56" s="213" t="s">
        <v>74</v>
      </c>
      <c r="C56" s="242">
        <v>-62020.46</v>
      </c>
      <c r="D56" s="206"/>
      <c r="E56" s="214"/>
      <c r="F56" s="241">
        <v>28281.37</v>
      </c>
      <c r="G56" s="206"/>
      <c r="H56" s="214"/>
      <c r="I56" s="1">
        <f t="shared" si="0"/>
        <v>-90301.83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2011</v>
      </c>
      <c r="B57" s="213" t="s">
        <v>76</v>
      </c>
      <c r="C57" s="242">
        <v>-4809.07</v>
      </c>
      <c r="D57" s="206"/>
      <c r="E57" s="214"/>
      <c r="F57" s="241">
        <v>-1752.38</v>
      </c>
      <c r="G57" s="206"/>
      <c r="H57" s="214"/>
      <c r="I57" s="1">
        <f t="shared" si="0"/>
        <v>-3056.6899999999996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2012</v>
      </c>
      <c r="B58" s="213" t="s">
        <v>78</v>
      </c>
      <c r="C58" s="242">
        <v>29883.26</v>
      </c>
      <c r="D58" s="206"/>
      <c r="E58" s="214"/>
      <c r="F58" s="241">
        <v>310726.34000000003</v>
      </c>
      <c r="G58" s="206"/>
      <c r="H58" s="214"/>
      <c r="I58" s="1">
        <f t="shared" si="0"/>
        <v>-280843.08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2013</v>
      </c>
      <c r="B59" s="213" t="s">
        <v>80</v>
      </c>
      <c r="C59" s="242">
        <v>-50315.67</v>
      </c>
      <c r="D59" s="206"/>
      <c r="E59" s="214"/>
      <c r="F59" s="241">
        <v>1948.68</v>
      </c>
      <c r="G59" s="206"/>
      <c r="H59" s="214"/>
      <c r="I59" s="1">
        <f t="shared" si="0"/>
        <v>-52264.35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2014</v>
      </c>
      <c r="B60" s="213" t="s">
        <v>82</v>
      </c>
      <c r="C60" s="242">
        <v>-31848.73</v>
      </c>
      <c r="D60" s="206"/>
      <c r="E60" s="214"/>
      <c r="F60" s="241">
        <v>-31500.29</v>
      </c>
      <c r="G60" s="206"/>
      <c r="H60" s="214"/>
      <c r="I60" s="1">
        <f t="shared" si="0"/>
        <v>-348.43999999999869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2015</v>
      </c>
      <c r="B61" s="213" t="s">
        <v>84</v>
      </c>
      <c r="C61" s="242">
        <v>-5942.65</v>
      </c>
      <c r="D61" s="206"/>
      <c r="E61" s="214"/>
      <c r="F61" s="241">
        <v>-1342.65</v>
      </c>
      <c r="G61" s="206"/>
      <c r="H61" s="214"/>
      <c r="I61" s="1">
        <f t="shared" si="0"/>
        <v>-4600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2016</v>
      </c>
      <c r="B62" s="213" t="s">
        <v>86</v>
      </c>
      <c r="C62" s="242">
        <v>-82278.13</v>
      </c>
      <c r="D62" s="206"/>
      <c r="E62" s="214"/>
      <c r="F62" s="241">
        <v>-68381.039999999994</v>
      </c>
      <c r="G62" s="206"/>
      <c r="H62" s="214"/>
      <c r="I62" s="1">
        <f t="shared" si="0"/>
        <v>-13897.090000000011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2017</v>
      </c>
      <c r="B63" s="213" t="s">
        <v>88</v>
      </c>
      <c r="C63" s="242">
        <v>-105475.16</v>
      </c>
      <c r="D63" s="206"/>
      <c r="E63" s="214"/>
      <c r="F63" s="241">
        <v>-79748.33</v>
      </c>
      <c r="G63" s="206"/>
      <c r="H63" s="214"/>
      <c r="I63" s="1">
        <f t="shared" si="0"/>
        <v>-25726.83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2018</v>
      </c>
      <c r="B64" s="213" t="s">
        <v>90</v>
      </c>
      <c r="C64" s="242">
        <v>-69623.66</v>
      </c>
      <c r="D64" s="206"/>
      <c r="E64" s="214"/>
      <c r="F64" s="241">
        <v>-35806.230000000003</v>
      </c>
      <c r="G64" s="206"/>
      <c r="H64" s="214"/>
      <c r="I64" s="1">
        <f t="shared" si="0"/>
        <v>-33817.43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2019</v>
      </c>
      <c r="B65" s="213" t="s">
        <v>568</v>
      </c>
      <c r="C65" s="242">
        <v>-59223.45</v>
      </c>
      <c r="D65" s="206"/>
      <c r="E65" s="214"/>
      <c r="F65" s="241">
        <v>-27759.01</v>
      </c>
      <c r="G65" s="206"/>
      <c r="H65" s="214"/>
      <c r="I65" s="1">
        <f t="shared" si="0"/>
        <v>-31464.44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2020</v>
      </c>
      <c r="B66" s="213" t="s">
        <v>94</v>
      </c>
      <c r="C66" s="242">
        <v>-9247.66</v>
      </c>
      <c r="D66" s="206"/>
      <c r="E66" s="214"/>
      <c r="F66" s="241">
        <v>-5352.23</v>
      </c>
      <c r="G66" s="206"/>
      <c r="H66" s="214"/>
      <c r="I66" s="1">
        <f t="shared" si="0"/>
        <v>-3895.4300000000003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2022</v>
      </c>
      <c r="B67" s="218" t="s">
        <v>923</v>
      </c>
      <c r="C67" s="242">
        <v>-65741.100000000006</v>
      </c>
      <c r="D67" s="206"/>
      <c r="E67" s="214"/>
      <c r="F67" s="241">
        <v>13394.2</v>
      </c>
      <c r="G67" s="206"/>
      <c r="H67" s="214"/>
      <c r="I67" s="1">
        <f t="shared" si="0"/>
        <v>-79135.3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2024</v>
      </c>
      <c r="B68" s="213" t="s">
        <v>96</v>
      </c>
      <c r="C68" s="242">
        <v>-26227.71</v>
      </c>
      <c r="D68" s="206"/>
      <c r="E68" s="214"/>
      <c r="F68" s="241">
        <v>41510.53</v>
      </c>
      <c r="G68" s="206"/>
      <c r="H68" s="214"/>
      <c r="I68" s="1">
        <f t="shared" si="0"/>
        <v>-67738.239999999991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2025</v>
      </c>
      <c r="B69" s="213" t="s">
        <v>98</v>
      </c>
      <c r="C69" s="242">
        <v>-1021.61</v>
      </c>
      <c r="D69" s="206"/>
      <c r="E69" s="214"/>
      <c r="F69" s="241">
        <v>-1021.61</v>
      </c>
      <c r="G69" s="206"/>
      <c r="H69" s="214"/>
      <c r="I69" s="1">
        <f t="shared" si="0"/>
        <v>0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2026</v>
      </c>
      <c r="B70" s="213" t="s">
        <v>100</v>
      </c>
      <c r="C70" s="242">
        <v>-13919.65</v>
      </c>
      <c r="D70" s="206"/>
      <c r="E70" s="214"/>
      <c r="F70" s="241">
        <v>-13919.65</v>
      </c>
      <c r="G70" s="206"/>
      <c r="H70" s="214"/>
      <c r="I70" s="1">
        <f t="shared" si="0"/>
        <v>0</v>
      </c>
      <c r="J70" s="1">
        <f t="shared" si="0"/>
        <v>0</v>
      </c>
      <c r="K70" s="1">
        <f t="shared" si="0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2027</v>
      </c>
      <c r="B71" s="213" t="s">
        <v>102</v>
      </c>
      <c r="C71" s="242">
        <v>-181813.81</v>
      </c>
      <c r="D71" s="206"/>
      <c r="E71" s="214"/>
      <c r="F71" s="241">
        <v>-100142.62</v>
      </c>
      <c r="G71" s="206"/>
      <c r="H71" s="214"/>
      <c r="I71" s="1">
        <f t="shared" si="0"/>
        <v>-81671.19</v>
      </c>
      <c r="J71" s="1">
        <f t="shared" si="0"/>
        <v>0</v>
      </c>
      <c r="K71" s="1">
        <f t="shared" si="0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2028</v>
      </c>
      <c r="B72" s="213" t="s">
        <v>569</v>
      </c>
      <c r="C72" s="242">
        <v>-30333.73</v>
      </c>
      <c r="D72" s="206"/>
      <c r="E72" s="214"/>
      <c r="F72" s="241">
        <v>-13136.73</v>
      </c>
      <c r="G72" s="206"/>
      <c r="H72" s="214"/>
      <c r="I72" s="1">
        <f t="shared" si="0"/>
        <v>-17197</v>
      </c>
      <c r="J72" s="1">
        <f t="shared" si="0"/>
        <v>0</v>
      </c>
      <c r="K72" s="1">
        <f t="shared" si="0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2029</v>
      </c>
      <c r="B73" s="213" t="s">
        <v>106</v>
      </c>
      <c r="C73" s="242">
        <v>-76260.490000000005</v>
      </c>
      <c r="D73" s="206"/>
      <c r="E73" s="214"/>
      <c r="F73" s="241">
        <v>-68353.600000000006</v>
      </c>
      <c r="G73" s="206"/>
      <c r="H73" s="214"/>
      <c r="I73" s="1">
        <f t="shared" si="0"/>
        <v>-7906.8899999999994</v>
      </c>
      <c r="J73" s="1">
        <f t="shared" si="0"/>
        <v>0</v>
      </c>
      <c r="K73" s="1">
        <f t="shared" si="0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2030</v>
      </c>
      <c r="B74" s="213" t="s">
        <v>108</v>
      </c>
      <c r="C74" s="242">
        <v>-56612.21</v>
      </c>
      <c r="D74" s="206"/>
      <c r="E74" s="214"/>
      <c r="F74" s="241">
        <v>-43298.93</v>
      </c>
      <c r="G74" s="206"/>
      <c r="H74" s="214"/>
      <c r="I74" s="1">
        <f t="shared" si="0"/>
        <v>-13313.279999999999</v>
      </c>
      <c r="J74" s="1">
        <f t="shared" si="0"/>
        <v>0</v>
      </c>
      <c r="K74" s="1">
        <f t="shared" si="0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2031</v>
      </c>
      <c r="B75" s="213" t="s">
        <v>570</v>
      </c>
      <c r="C75" s="242">
        <v>-229854.25</v>
      </c>
      <c r="D75" s="206"/>
      <c r="E75" s="214"/>
      <c r="F75" s="241">
        <v>-147168.07999999999</v>
      </c>
      <c r="G75" s="206"/>
      <c r="H75" s="214"/>
      <c r="I75" s="1">
        <f t="shared" ref="I75:K118" si="1">C75-F75</f>
        <v>-82686.170000000013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2032</v>
      </c>
      <c r="B76" s="213" t="s">
        <v>112</v>
      </c>
      <c r="C76" s="242">
        <v>-21398.03</v>
      </c>
      <c r="D76" s="206"/>
      <c r="E76" s="214"/>
      <c r="F76" s="241">
        <v>-8626.34</v>
      </c>
      <c r="G76" s="206"/>
      <c r="H76" s="214"/>
      <c r="I76" s="1">
        <f t="shared" si="1"/>
        <v>-12771.689999999999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2033</v>
      </c>
      <c r="B77" s="213" t="s">
        <v>899</v>
      </c>
      <c r="C77" s="242">
        <v>-301474</v>
      </c>
      <c r="D77" s="206"/>
      <c r="E77" s="214"/>
      <c r="F77" s="241">
        <v>-274774.07</v>
      </c>
      <c r="G77" s="206"/>
      <c r="H77" s="214"/>
      <c r="I77" s="1">
        <f t="shared" si="1"/>
        <v>-26699.929999999993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2034</v>
      </c>
      <c r="B78" s="213" t="s">
        <v>114</v>
      </c>
      <c r="C78" s="242">
        <v>-80945.759999999995</v>
      </c>
      <c r="D78" s="206"/>
      <c r="E78" s="214"/>
      <c r="F78" s="241">
        <v>-71390.210000000006</v>
      </c>
      <c r="G78" s="206"/>
      <c r="H78" s="214"/>
      <c r="I78" s="1">
        <f t="shared" si="1"/>
        <v>-9555.5499999999884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2035</v>
      </c>
      <c r="B79" s="213" t="s">
        <v>116</v>
      </c>
      <c r="C79" s="242">
        <v>-117451.51</v>
      </c>
      <c r="D79" s="206"/>
      <c r="E79" s="214"/>
      <c r="F79" s="241">
        <v>-51237.29</v>
      </c>
      <c r="G79" s="206"/>
      <c r="H79" s="214"/>
      <c r="I79" s="1">
        <f t="shared" si="1"/>
        <v>-66214.22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2036</v>
      </c>
      <c r="B80" s="213" t="s">
        <v>571</v>
      </c>
      <c r="C80" s="242">
        <v>-7188</v>
      </c>
      <c r="D80" s="206"/>
      <c r="E80" s="214"/>
      <c r="F80" s="241">
        <v>-7188</v>
      </c>
      <c r="G80" s="206"/>
      <c r="H80" s="214"/>
      <c r="I80" s="1">
        <f t="shared" si="1"/>
        <v>0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2037</v>
      </c>
      <c r="B81" s="213" t="s">
        <v>572</v>
      </c>
      <c r="C81" s="242">
        <v>-411749.04</v>
      </c>
      <c r="D81" s="206"/>
      <c r="E81" s="214"/>
      <c r="F81" s="241">
        <v>-428204.61</v>
      </c>
      <c r="G81" s="206"/>
      <c r="H81" s="214"/>
      <c r="I81" s="1">
        <f t="shared" si="1"/>
        <v>16455.570000000007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23">
        <v>2038</v>
      </c>
      <c r="B82" s="218" t="s">
        <v>573</v>
      </c>
      <c r="C82" s="242">
        <v>-17224.759999999998</v>
      </c>
      <c r="D82" s="206"/>
      <c r="E82" s="214"/>
      <c r="F82" s="241">
        <v>-17224.759999999998</v>
      </c>
      <c r="G82" s="206"/>
      <c r="H82" s="214"/>
      <c r="I82" s="1">
        <f t="shared" si="1"/>
        <v>0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350">
        <v>2039</v>
      </c>
      <c r="B83" s="349" t="s">
        <v>764</v>
      </c>
      <c r="C83" s="242">
        <v>-100564.81</v>
      </c>
      <c r="D83" s="206"/>
      <c r="E83" s="214"/>
      <c r="F83" s="241">
        <v>-89666.77</v>
      </c>
      <c r="G83" s="206"/>
      <c r="H83" s="214"/>
      <c r="I83" s="1">
        <f t="shared" si="1"/>
        <v>-10898.039999999994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23">
        <v>2040</v>
      </c>
      <c r="B84" s="218" t="s">
        <v>528</v>
      </c>
      <c r="C84" s="344">
        <v>-541013.30000000005</v>
      </c>
      <c r="D84" s="206"/>
      <c r="E84" s="214"/>
      <c r="F84" s="241">
        <v>-541013.30000000005</v>
      </c>
      <c r="G84" s="206"/>
      <c r="H84" s="214"/>
      <c r="I84" s="1">
        <f t="shared" si="1"/>
        <v>0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23">
        <v>2041</v>
      </c>
      <c r="B85" s="218" t="s">
        <v>126</v>
      </c>
      <c r="C85" s="344">
        <v>-96296.55</v>
      </c>
      <c r="D85" s="206">
        <f>SUM(C84:C85)</f>
        <v>-637309.85000000009</v>
      </c>
      <c r="E85" s="214"/>
      <c r="F85" s="241">
        <v>-96296.55</v>
      </c>
      <c r="G85" s="206">
        <f>SUM(F84:F85)</f>
        <v>-637309.85000000009</v>
      </c>
      <c r="H85" s="217"/>
      <c r="I85" s="1">
        <f t="shared" si="1"/>
        <v>0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23">
        <v>2042</v>
      </c>
      <c r="B86" s="218" t="s">
        <v>893</v>
      </c>
      <c r="C86" s="242">
        <v>-21836</v>
      </c>
      <c r="D86" s="206"/>
      <c r="E86" s="214"/>
      <c r="F86" s="241">
        <v>-26025.8</v>
      </c>
      <c r="G86" s="206"/>
      <c r="H86" s="217"/>
      <c r="I86" s="1">
        <f t="shared" si="1"/>
        <v>4189.7999999999993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23">
        <v>2045</v>
      </c>
      <c r="B87" s="218" t="s">
        <v>128</v>
      </c>
      <c r="C87" s="242">
        <v>36398.699999999997</v>
      </c>
      <c r="D87" s="206"/>
      <c r="E87" s="214"/>
      <c r="F87" s="241">
        <v>35485.9</v>
      </c>
      <c r="G87" s="206"/>
      <c r="H87" s="214"/>
      <c r="I87" s="1">
        <f t="shared" si="1"/>
        <v>912.79999999999563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350">
        <v>2046</v>
      </c>
      <c r="B88" s="349" t="s">
        <v>765</v>
      </c>
      <c r="C88" s="242">
        <v>94204.99</v>
      </c>
      <c r="D88" s="206"/>
      <c r="E88" s="214"/>
      <c r="F88" s="241">
        <v>94204.99</v>
      </c>
      <c r="G88" s="206"/>
      <c r="H88" s="214"/>
      <c r="I88" s="1">
        <f t="shared" si="1"/>
        <v>0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350">
        <v>2047</v>
      </c>
      <c r="B89" s="349" t="s">
        <v>931</v>
      </c>
      <c r="C89" s="242">
        <v>-34178.75</v>
      </c>
      <c r="D89" s="206"/>
      <c r="E89" s="214"/>
      <c r="F89" s="241">
        <v>13525.88</v>
      </c>
      <c r="G89" s="206"/>
      <c r="H89" s="214"/>
      <c r="I89" s="1">
        <f t="shared" si="1"/>
        <v>-47704.63</v>
      </c>
      <c r="J89" s="1">
        <f t="shared" si="1"/>
        <v>0</v>
      </c>
      <c r="K89" s="1">
        <f t="shared" si="1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350">
        <v>2048</v>
      </c>
      <c r="B90" s="349" t="s">
        <v>986</v>
      </c>
      <c r="C90" s="242">
        <v>-60979.83</v>
      </c>
      <c r="D90" s="206"/>
      <c r="E90" s="214"/>
      <c r="F90" s="241">
        <v>0</v>
      </c>
      <c r="G90" s="206"/>
      <c r="H90" s="214"/>
      <c r="I90" s="1">
        <f t="shared" si="1"/>
        <v>-60979.83</v>
      </c>
      <c r="J90" s="1">
        <f t="shared" si="1"/>
        <v>0</v>
      </c>
      <c r="K90" s="1">
        <f t="shared" si="1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23">
        <v>2050</v>
      </c>
      <c r="B91" s="218" t="s">
        <v>694</v>
      </c>
      <c r="C91" s="242">
        <v>88375.69</v>
      </c>
      <c r="D91" s="206"/>
      <c r="E91" s="214"/>
      <c r="F91" s="241">
        <v>118470.34</v>
      </c>
      <c r="G91" s="206"/>
      <c r="H91" s="214"/>
      <c r="I91" s="1">
        <f t="shared" si="1"/>
        <v>-30094.649999999994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23">
        <v>2051</v>
      </c>
      <c r="B92" s="218" t="s">
        <v>987</v>
      </c>
      <c r="C92" s="242">
        <v>-62681.25</v>
      </c>
      <c r="D92" s="206"/>
      <c r="E92" s="214"/>
      <c r="F92" s="241">
        <v>0</v>
      </c>
      <c r="G92" s="206"/>
      <c r="H92" s="214"/>
      <c r="I92" s="1">
        <f t="shared" si="1"/>
        <v>-62681.25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23">
        <v>2055</v>
      </c>
      <c r="B93" s="218" t="s">
        <v>574</v>
      </c>
      <c r="C93" s="242">
        <v>-432792.8</v>
      </c>
      <c r="D93" s="206"/>
      <c r="E93" s="214"/>
      <c r="F93" s="241">
        <v>-398307.08</v>
      </c>
      <c r="G93" s="206"/>
      <c r="H93" s="214"/>
      <c r="I93" s="1">
        <f t="shared" si="1"/>
        <v>-34485.719999999972</v>
      </c>
      <c r="J93" s="1">
        <f t="shared" si="1"/>
        <v>0</v>
      </c>
      <c r="K93" s="1">
        <f t="shared" si="1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23">
        <v>2070</v>
      </c>
      <c r="B94" s="218" t="s">
        <v>134</v>
      </c>
      <c r="C94" s="242">
        <v>-11142235.779999999</v>
      </c>
      <c r="D94" s="206"/>
      <c r="E94" s="214"/>
      <c r="F94" s="241">
        <v>-11107492.57</v>
      </c>
      <c r="G94" s="206"/>
      <c r="H94" s="214"/>
      <c r="I94" s="1">
        <f t="shared" si="1"/>
        <v>-34743.209999999031</v>
      </c>
      <c r="J94" s="1">
        <f t="shared" si="1"/>
        <v>0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23">
        <v>2080</v>
      </c>
      <c r="B95" s="218" t="s">
        <v>136</v>
      </c>
      <c r="C95" s="242">
        <v>-725889.04</v>
      </c>
      <c r="D95" s="206"/>
      <c r="E95" s="214"/>
      <c r="F95" s="241">
        <v>-746687.54</v>
      </c>
      <c r="G95" s="229"/>
      <c r="H95" s="214"/>
      <c r="I95" s="1">
        <f t="shared" si="1"/>
        <v>20798.5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23">
        <v>2090</v>
      </c>
      <c r="B96" s="218" t="s">
        <v>695</v>
      </c>
      <c r="C96" s="242">
        <v>142044.94</v>
      </c>
      <c r="D96" s="261"/>
      <c r="E96" s="217"/>
      <c r="F96" s="241">
        <v>106985.63</v>
      </c>
      <c r="G96" s="239"/>
      <c r="H96" s="217"/>
      <c r="I96" s="1">
        <f t="shared" si="1"/>
        <v>35059.31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23"/>
      <c r="B97" s="218" t="s">
        <v>575</v>
      </c>
      <c r="C97" s="242">
        <f>'Årsregnskap 2021'!C29*-1</f>
        <v>-160713.71999999991</v>
      </c>
      <c r="D97" s="206">
        <f>SUM(C47:C83)+C86+C87+C88+C91+C93+C94+C95+C96+C97+C89+C90+C92</f>
        <v>-15379684.449999997</v>
      </c>
      <c r="E97" s="214">
        <f>SUM(D85:D97)</f>
        <v>-16016994.299999997</v>
      </c>
      <c r="F97" s="241">
        <f>'Årsregnskap 2021'!D29*-1</f>
        <v>-1712415.09</v>
      </c>
      <c r="G97" s="206">
        <f>SUM(F47:F83)+F86+F87+F88+F91+F93+F94+F95+F96+F97+F89</f>
        <v>-15218970.729999997</v>
      </c>
      <c r="H97" s="214">
        <f>G85+G97</f>
        <v>-15856280.579999996</v>
      </c>
      <c r="I97" s="1">
        <f t="shared" si="1"/>
        <v>1551701.37</v>
      </c>
      <c r="J97" s="1">
        <f t="shared" si="1"/>
        <v>-160713.72000000067</v>
      </c>
      <c r="K97" s="1">
        <f t="shared" si="1"/>
        <v>-160713.72000000067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23">
        <v>2192</v>
      </c>
      <c r="B98" s="218" t="s">
        <v>138</v>
      </c>
      <c r="C98" s="246">
        <v>0</v>
      </c>
      <c r="D98" s="206"/>
      <c r="E98" s="214"/>
      <c r="F98" s="246">
        <v>0</v>
      </c>
      <c r="G98" s="206"/>
      <c r="H98" s="214"/>
      <c r="I98" s="1">
        <f t="shared" si="1"/>
        <v>0</v>
      </c>
      <c r="J98" s="1">
        <f t="shared" si="1"/>
        <v>0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23">
        <v>2240</v>
      </c>
      <c r="B99" s="218" t="s">
        <v>140</v>
      </c>
      <c r="C99" s="243">
        <v>-1000000</v>
      </c>
      <c r="D99" s="206"/>
      <c r="E99" s="214"/>
      <c r="F99" s="243">
        <v>-1000000</v>
      </c>
      <c r="G99" s="206"/>
      <c r="H99" s="214"/>
      <c r="I99" s="1">
        <f t="shared" si="1"/>
        <v>0</v>
      </c>
      <c r="J99" s="1">
        <f t="shared" si="1"/>
        <v>0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23">
        <v>2241</v>
      </c>
      <c r="B100" s="218" t="s">
        <v>142</v>
      </c>
      <c r="C100" s="243">
        <v>-277790</v>
      </c>
      <c r="D100" s="227">
        <f>SUM(C99:C100)+C103</f>
        <v>-1312790</v>
      </c>
      <c r="E100" s="214"/>
      <c r="F100" s="243">
        <v>-277790</v>
      </c>
      <c r="G100" s="227">
        <f>SUM(F99:F100)+F103</f>
        <v>-1312790</v>
      </c>
      <c r="H100" s="214"/>
      <c r="I100" s="1">
        <f t="shared" si="1"/>
        <v>0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23">
        <v>2400</v>
      </c>
      <c r="B101" s="218" t="s">
        <v>578</v>
      </c>
      <c r="C101" s="241">
        <v>-1624842.48</v>
      </c>
      <c r="D101" s="206">
        <f>C101</f>
        <v>-1624842.48</v>
      </c>
      <c r="E101" s="214"/>
      <c r="F101" s="241">
        <v>-139500.44</v>
      </c>
      <c r="G101" s="206">
        <f>F101</f>
        <v>-139500.44</v>
      </c>
      <c r="H101" s="214"/>
      <c r="I101" s="1">
        <f t="shared" si="1"/>
        <v>-1485342.04</v>
      </c>
      <c r="J101" s="1">
        <f t="shared" si="1"/>
        <v>-1485342.04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23">
        <v>2442</v>
      </c>
      <c r="B102" s="218" t="s">
        <v>576</v>
      </c>
      <c r="C102" s="244">
        <v>-10000</v>
      </c>
      <c r="D102" s="206"/>
      <c r="E102" s="214"/>
      <c r="F102" s="244">
        <v>-10000</v>
      </c>
      <c r="G102" s="206"/>
      <c r="H102" s="214"/>
      <c r="I102" s="1">
        <f t="shared" si="1"/>
        <v>0</v>
      </c>
      <c r="J102" s="1">
        <f t="shared" si="1"/>
        <v>0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23">
        <v>2443</v>
      </c>
      <c r="B103" s="218" t="s">
        <v>150</v>
      </c>
      <c r="C103" s="243">
        <v>-35000</v>
      </c>
      <c r="D103" s="206"/>
      <c r="E103" s="214"/>
      <c r="F103" s="243">
        <v>-35000</v>
      </c>
      <c r="G103" s="206"/>
      <c r="H103" s="214"/>
      <c r="I103" s="1">
        <f t="shared" si="1"/>
        <v>0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23">
        <v>2444</v>
      </c>
      <c r="B104" s="218" t="s">
        <v>577</v>
      </c>
      <c r="C104" s="244">
        <v>-10000</v>
      </c>
      <c r="D104" s="228">
        <f>C102+C104</f>
        <v>-20000</v>
      </c>
      <c r="E104" s="214"/>
      <c r="F104" s="244">
        <v>-10000</v>
      </c>
      <c r="G104" s="228">
        <f>F102+F104</f>
        <v>-20000</v>
      </c>
      <c r="H104" s="214"/>
      <c r="I104" s="1">
        <f t="shared" si="1"/>
        <v>0</v>
      </c>
      <c r="J104" s="1">
        <f t="shared" si="1"/>
        <v>0</v>
      </c>
      <c r="K104" s="1">
        <f t="shared" si="1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23">
        <v>2600</v>
      </c>
      <c r="B105" s="218" t="s">
        <v>579</v>
      </c>
      <c r="C105" s="242">
        <v>-16981</v>
      </c>
      <c r="D105" s="206"/>
      <c r="E105" s="214"/>
      <c r="F105" s="242">
        <v>-14988</v>
      </c>
      <c r="G105" s="206"/>
      <c r="H105" s="214"/>
      <c r="I105" s="1">
        <f t="shared" si="1"/>
        <v>-1993</v>
      </c>
      <c r="J105" s="1">
        <f t="shared" si="1"/>
        <v>0</v>
      </c>
      <c r="K105" s="1">
        <f t="shared" si="1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2770</v>
      </c>
      <c r="B106" s="213" t="s">
        <v>160</v>
      </c>
      <c r="C106" s="242">
        <v>-19778.759999999998</v>
      </c>
      <c r="D106" s="225">
        <f>SUM(C105:C106)</f>
        <v>-36759.759999999995</v>
      </c>
      <c r="E106" s="214"/>
      <c r="F106" s="242">
        <v>-19386.75</v>
      </c>
      <c r="G106" s="225">
        <f>SUM(F105:F106)</f>
        <v>-34374.75</v>
      </c>
      <c r="H106" s="214"/>
      <c r="I106" s="1">
        <f t="shared" si="1"/>
        <v>-392.0099999999984</v>
      </c>
      <c r="J106" s="1">
        <f t="shared" si="1"/>
        <v>-2385.0099999999948</v>
      </c>
      <c r="K106" s="1">
        <f t="shared" si="1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2780</v>
      </c>
      <c r="B107" s="213" t="s">
        <v>582</v>
      </c>
      <c r="C107" s="246">
        <v>-7034.93</v>
      </c>
      <c r="D107" s="206"/>
      <c r="E107" s="214"/>
      <c r="F107" s="246">
        <v>-6376.14</v>
      </c>
      <c r="G107" s="206"/>
      <c r="H107" s="214"/>
      <c r="I107" s="1">
        <f t="shared" si="1"/>
        <v>-658.79</v>
      </c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2900</v>
      </c>
      <c r="B108" s="213" t="s">
        <v>164</v>
      </c>
      <c r="C108" s="246">
        <v>0</v>
      </c>
      <c r="D108" s="206"/>
      <c r="E108" s="214"/>
      <c r="F108" s="246">
        <v>0</v>
      </c>
      <c r="G108" s="206"/>
      <c r="H108" s="214"/>
      <c r="I108" s="1">
        <f t="shared" si="1"/>
        <v>0</v>
      </c>
      <c r="J108" s="1">
        <f t="shared" si="1"/>
        <v>0</v>
      </c>
      <c r="K108" s="1">
        <f t="shared" si="1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2930</v>
      </c>
      <c r="B109" s="213" t="s">
        <v>583</v>
      </c>
      <c r="C109" s="246">
        <v>-627</v>
      </c>
      <c r="D109" s="206"/>
      <c r="E109" s="214"/>
      <c r="F109" s="246">
        <v>-627</v>
      </c>
      <c r="G109" s="206"/>
      <c r="H109" s="214"/>
      <c r="I109" s="1">
        <f t="shared" si="1"/>
        <v>0</v>
      </c>
      <c r="J109" s="1">
        <f t="shared" si="1"/>
        <v>0</v>
      </c>
      <c r="K109" s="1">
        <f t="shared" si="1"/>
        <v>0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2940</v>
      </c>
      <c r="B110" s="213" t="s">
        <v>168</v>
      </c>
      <c r="C110" s="246">
        <v>-49893.120000000003</v>
      </c>
      <c r="D110" s="206"/>
      <c r="E110" s="214"/>
      <c r="F110" s="246">
        <v>-45220.83</v>
      </c>
      <c r="G110" s="206"/>
      <c r="H110" s="214"/>
      <c r="I110" s="1">
        <f t="shared" si="1"/>
        <v>-4672.2900000000009</v>
      </c>
      <c r="J110" s="1">
        <f t="shared" si="1"/>
        <v>0</v>
      </c>
      <c r="K110" s="1">
        <f t="shared" si="1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2960</v>
      </c>
      <c r="B111" s="213" t="s">
        <v>584</v>
      </c>
      <c r="C111" s="246">
        <v>0</v>
      </c>
      <c r="D111" s="206"/>
      <c r="E111" s="214"/>
      <c r="F111" s="246">
        <v>0</v>
      </c>
      <c r="G111" s="226"/>
      <c r="H111" s="217"/>
      <c r="I111" s="1">
        <f t="shared" si="1"/>
        <v>0</v>
      </c>
      <c r="J111" s="1">
        <f t="shared" si="1"/>
        <v>0</v>
      </c>
      <c r="K111" s="1">
        <f t="shared" si="1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4.4">
      <c r="A112" s="215">
        <v>2990</v>
      </c>
      <c r="B112" s="216" t="s">
        <v>146</v>
      </c>
      <c r="C112" s="257">
        <v>0</v>
      </c>
      <c r="D112" s="258">
        <f>SUM(C107:C112)+C98</f>
        <v>-57555.05</v>
      </c>
      <c r="E112" s="259">
        <f>SUM(D100:D112)</f>
        <v>-3051947.2899999996</v>
      </c>
      <c r="F112" s="257">
        <v>-1649.38</v>
      </c>
      <c r="G112" s="258">
        <f>SUM(F107:F112)+F98</f>
        <v>-53873.35</v>
      </c>
      <c r="H112" s="259">
        <f>SUM(G100:G112)</f>
        <v>-1560538.54</v>
      </c>
      <c r="I112" s="1">
        <f t="shared" si="1"/>
        <v>1649.38</v>
      </c>
      <c r="J112" s="1">
        <f t="shared" si="1"/>
        <v>-3681.7000000000044</v>
      </c>
      <c r="K112" s="1">
        <f t="shared" si="1"/>
        <v>-1491408.7499999995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/>
      <c r="B113" s="218" t="s">
        <v>820</v>
      </c>
      <c r="C113" s="241">
        <f>SUM(C47:C112)</f>
        <v>-19068941.590000004</v>
      </c>
      <c r="D113" s="206"/>
      <c r="E113" s="214">
        <f>E97+E112</f>
        <v>-19068941.589999996</v>
      </c>
      <c r="F113" s="241">
        <f>SUM(F47:F112)</f>
        <v>-17416819.119999997</v>
      </c>
      <c r="G113" s="206"/>
      <c r="H113" s="214">
        <f>H97+H112</f>
        <v>-17416819.119999997</v>
      </c>
      <c r="I113" s="1">
        <f t="shared" si="1"/>
        <v>-1652122.4700000063</v>
      </c>
      <c r="J113" s="1">
        <f t="shared" si="1"/>
        <v>0</v>
      </c>
      <c r="K113" s="1">
        <f t="shared" si="1"/>
        <v>-1652122.4699999988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3.8" thickBot="1">
      <c r="A114" s="212"/>
      <c r="B114" s="213"/>
      <c r="C114" s="241" t="s">
        <v>374</v>
      </c>
      <c r="D114" s="206"/>
      <c r="E114" s="214"/>
      <c r="F114" s="241"/>
      <c r="G114" s="206"/>
      <c r="H114" s="214"/>
      <c r="I114" s="1"/>
      <c r="J114" s="1">
        <f t="shared" si="1"/>
        <v>0</v>
      </c>
      <c r="K114" s="1">
        <f t="shared" si="1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350">
        <v>3090</v>
      </c>
      <c r="B115" s="349" t="s">
        <v>932</v>
      </c>
      <c r="C115" s="280">
        <v>0</v>
      </c>
      <c r="D115" s="281"/>
      <c r="E115" s="282"/>
      <c r="F115" s="280">
        <v>-1190</v>
      </c>
      <c r="G115" s="281"/>
      <c r="H115" s="282"/>
      <c r="I115" s="1">
        <f t="shared" si="1"/>
        <v>1190</v>
      </c>
      <c r="J115" s="1">
        <f t="shared" si="1"/>
        <v>0</v>
      </c>
      <c r="K115" s="1">
        <f t="shared" si="1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350">
        <v>3100</v>
      </c>
      <c r="B116" s="349" t="s">
        <v>766</v>
      </c>
      <c r="C116" s="247">
        <v>0</v>
      </c>
      <c r="D116" s="206"/>
      <c r="E116" s="214"/>
      <c r="F116" s="247">
        <v>0</v>
      </c>
      <c r="G116" s="206"/>
      <c r="H116" s="214"/>
      <c r="I116" s="1">
        <f t="shared" si="1"/>
        <v>0</v>
      </c>
      <c r="J116" s="1">
        <f t="shared" si="1"/>
        <v>0</v>
      </c>
      <c r="K116" s="1">
        <f t="shared" si="1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23">
        <v>3110</v>
      </c>
      <c r="B117" s="218" t="s">
        <v>176</v>
      </c>
      <c r="C117" s="247">
        <v>-13584</v>
      </c>
      <c r="D117" s="206"/>
      <c r="E117" s="214"/>
      <c r="F117" s="247">
        <v>-7934.09</v>
      </c>
      <c r="G117" s="206"/>
      <c r="H117" s="214"/>
      <c r="I117" s="1">
        <f t="shared" si="1"/>
        <v>-5649.91</v>
      </c>
      <c r="J117" s="1">
        <f t="shared" si="1"/>
        <v>0</v>
      </c>
      <c r="K117" s="1">
        <f t="shared" si="1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23">
        <v>3120</v>
      </c>
      <c r="B118" s="218" t="s">
        <v>178</v>
      </c>
      <c r="C118" s="247">
        <v>0</v>
      </c>
      <c r="D118" s="206"/>
      <c r="E118" s="214"/>
      <c r="F118" s="247">
        <v>-25000</v>
      </c>
      <c r="G118" s="206"/>
      <c r="H118" s="214"/>
      <c r="I118" s="1">
        <f>C118-F118</f>
        <v>25000</v>
      </c>
      <c r="J118" s="1">
        <f t="shared" si="1"/>
        <v>0</v>
      </c>
      <c r="K118" s="1">
        <f t="shared" si="1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350">
        <v>3160</v>
      </c>
      <c r="B119" s="349" t="s">
        <v>767</v>
      </c>
      <c r="C119" s="247">
        <v>0</v>
      </c>
      <c r="D119" s="206"/>
      <c r="E119" s="214"/>
      <c r="F119" s="247">
        <v>0</v>
      </c>
      <c r="G119" s="206"/>
      <c r="H119" s="214"/>
      <c r="I119" s="1">
        <f t="shared" ref="I119:K139" si="2">C119-F119</f>
        <v>0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23">
        <v>3400</v>
      </c>
      <c r="B120" s="218" t="s">
        <v>182</v>
      </c>
      <c r="C120" s="243">
        <v>-2227620</v>
      </c>
      <c r="D120" s="227">
        <f>C120</f>
        <v>-2227620</v>
      </c>
      <c r="E120" s="214"/>
      <c r="F120" s="243">
        <v>-1530330</v>
      </c>
      <c r="G120" s="227">
        <f>F120</f>
        <v>-1530330</v>
      </c>
      <c r="H120" s="214"/>
      <c r="I120" s="1">
        <f t="shared" si="2"/>
        <v>-697290</v>
      </c>
      <c r="J120" s="1">
        <f t="shared" si="2"/>
        <v>-697290</v>
      </c>
      <c r="K120" s="1">
        <f t="shared" si="2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23">
        <v>3440</v>
      </c>
      <c r="B121" s="218" t="s">
        <v>588</v>
      </c>
      <c r="C121" s="247">
        <v>-35035</v>
      </c>
      <c r="D121" s="206"/>
      <c r="E121" s="214"/>
      <c r="F121" s="247">
        <v>-891105</v>
      </c>
      <c r="G121" s="206"/>
      <c r="H121" s="214"/>
      <c r="I121" s="1">
        <f t="shared" si="2"/>
        <v>856070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23">
        <v>3450</v>
      </c>
      <c r="B122" s="218" t="s">
        <v>865</v>
      </c>
      <c r="C122" s="247">
        <v>-401053</v>
      </c>
      <c r="D122" s="206"/>
      <c r="E122" s="214"/>
      <c r="F122" s="247">
        <v>-406373.99</v>
      </c>
      <c r="G122" s="206"/>
      <c r="H122" s="214"/>
      <c r="I122" s="1">
        <f t="shared" si="2"/>
        <v>5320.9899999999907</v>
      </c>
      <c r="J122" s="1">
        <f t="shared" si="2"/>
        <v>0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350">
        <v>3480</v>
      </c>
      <c r="B123" s="349" t="s">
        <v>190</v>
      </c>
      <c r="C123" s="247">
        <v>-20000</v>
      </c>
      <c r="D123" s="206"/>
      <c r="E123" s="214"/>
      <c r="F123" s="247">
        <v>-377975</v>
      </c>
      <c r="G123" s="206"/>
      <c r="H123" s="214"/>
      <c r="I123" s="1">
        <f t="shared" si="2"/>
        <v>357975</v>
      </c>
      <c r="J123" s="1">
        <f t="shared" si="2"/>
        <v>0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23">
        <v>3490</v>
      </c>
      <c r="B124" s="218" t="s">
        <v>194</v>
      </c>
      <c r="C124" s="247">
        <v>-1078383.52</v>
      </c>
      <c r="D124" s="206"/>
      <c r="E124" s="214"/>
      <c r="F124" s="247">
        <v>-388483.43</v>
      </c>
      <c r="G124" s="206"/>
      <c r="H124" s="214"/>
      <c r="I124" s="1">
        <f t="shared" si="2"/>
        <v>-689900.09000000008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23">
        <v>3610</v>
      </c>
      <c r="B125" s="218" t="s">
        <v>589</v>
      </c>
      <c r="C125" s="248">
        <v>-58674</v>
      </c>
      <c r="D125" s="206"/>
      <c r="E125" s="214"/>
      <c r="F125" s="248">
        <v>-61485</v>
      </c>
      <c r="G125" s="206"/>
      <c r="H125" s="214"/>
      <c r="I125" s="1">
        <f t="shared" si="2"/>
        <v>2811</v>
      </c>
      <c r="J125" s="1">
        <f t="shared" si="2"/>
        <v>0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23">
        <v>3630</v>
      </c>
      <c r="B126" s="218" t="s">
        <v>198</v>
      </c>
      <c r="C126" s="248">
        <v>-7150</v>
      </c>
      <c r="D126" s="231">
        <f>SUM(C125:C126)</f>
        <v>-65824</v>
      </c>
      <c r="E126" s="214"/>
      <c r="F126" s="248">
        <v>2500</v>
      </c>
      <c r="G126" s="231">
        <f>SUM(F125:F126)</f>
        <v>-58985</v>
      </c>
      <c r="H126" s="214"/>
      <c r="I126" s="1">
        <f t="shared" si="2"/>
        <v>-9650</v>
      </c>
      <c r="J126" s="1">
        <f t="shared" si="2"/>
        <v>-6839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350">
        <v>3700</v>
      </c>
      <c r="B127" s="349" t="s">
        <v>768</v>
      </c>
      <c r="C127" s="247">
        <v>0</v>
      </c>
      <c r="D127" s="206"/>
      <c r="E127" s="214"/>
      <c r="F127" s="247">
        <v>0</v>
      </c>
      <c r="G127" s="232"/>
      <c r="H127" s="214"/>
      <c r="I127" s="1">
        <f t="shared" si="2"/>
        <v>0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350">
        <v>3808</v>
      </c>
      <c r="B128" s="349" t="s">
        <v>968</v>
      </c>
      <c r="C128" s="247"/>
      <c r="D128" s="206"/>
      <c r="E128" s="214"/>
      <c r="F128" s="247"/>
      <c r="G128" s="232"/>
      <c r="H128" s="214"/>
      <c r="I128" s="1">
        <f t="shared" si="2"/>
        <v>0</v>
      </c>
      <c r="J128" s="1">
        <f t="shared" si="2"/>
        <v>0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350">
        <v>3900</v>
      </c>
      <c r="B129" s="349" t="s">
        <v>590</v>
      </c>
      <c r="C129" s="247">
        <v>0</v>
      </c>
      <c r="D129" s="206"/>
      <c r="E129" s="214"/>
      <c r="F129" s="247">
        <v>-150000</v>
      </c>
      <c r="G129" s="232"/>
      <c r="H129" s="214"/>
      <c r="I129" s="1">
        <f t="shared" si="2"/>
        <v>150000</v>
      </c>
      <c r="J129" s="1">
        <f t="shared" si="2"/>
        <v>0</v>
      </c>
      <c r="K129" s="1">
        <f t="shared" si="2"/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23">
        <v>3910</v>
      </c>
      <c r="B130" s="218" t="s">
        <v>591</v>
      </c>
      <c r="C130" s="249">
        <v>-365564</v>
      </c>
      <c r="D130" s="206"/>
      <c r="E130" s="214"/>
      <c r="F130" s="249">
        <v>-491</v>
      </c>
      <c r="G130" s="206"/>
      <c r="H130" s="214"/>
      <c r="I130" s="1">
        <f t="shared" si="2"/>
        <v>-365073</v>
      </c>
      <c r="J130" s="1">
        <f t="shared" si="2"/>
        <v>0</v>
      </c>
      <c r="K130" s="1">
        <f t="shared" si="2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23">
        <v>3915</v>
      </c>
      <c r="B131" s="218" t="s">
        <v>204</v>
      </c>
      <c r="C131" s="249">
        <v>0</v>
      </c>
      <c r="D131" s="206"/>
      <c r="E131" s="214"/>
      <c r="F131" s="249">
        <v>0</v>
      </c>
      <c r="G131" s="206"/>
      <c r="H131" s="214"/>
      <c r="I131" s="1">
        <f t="shared" si="2"/>
        <v>0</v>
      </c>
      <c r="J131" s="1">
        <f t="shared" si="2"/>
        <v>0</v>
      </c>
      <c r="K131" s="1">
        <f t="shared" si="2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23">
        <v>3920</v>
      </c>
      <c r="B132" s="218" t="s">
        <v>592</v>
      </c>
      <c r="C132" s="249">
        <v>-1112074.43</v>
      </c>
      <c r="D132" s="206"/>
      <c r="E132" s="214"/>
      <c r="F132" s="249">
        <v>-1947183.41</v>
      </c>
      <c r="G132" s="206"/>
      <c r="H132" s="214"/>
      <c r="I132" s="1">
        <f t="shared" si="2"/>
        <v>835108.98</v>
      </c>
      <c r="J132" s="1">
        <f t="shared" si="2"/>
        <v>0</v>
      </c>
      <c r="K132" s="1">
        <f t="shared" si="2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23">
        <v>3925</v>
      </c>
      <c r="B133" s="218" t="s">
        <v>208</v>
      </c>
      <c r="C133" s="249">
        <v>0</v>
      </c>
      <c r="D133" s="233">
        <f>SUM(C130:C133)</f>
        <v>-1477638.43</v>
      </c>
      <c r="E133" s="214"/>
      <c r="F133" s="249">
        <v>0</v>
      </c>
      <c r="G133" s="233">
        <f>SUM(F130:F133)</f>
        <v>-1947674.41</v>
      </c>
      <c r="H133" s="214"/>
      <c r="I133" s="1">
        <f t="shared" si="2"/>
        <v>0</v>
      </c>
      <c r="J133" s="1">
        <f t="shared" si="2"/>
        <v>470035.98</v>
      </c>
      <c r="K133" s="1">
        <f t="shared" si="2"/>
        <v>0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23">
        <v>3940</v>
      </c>
      <c r="B134" s="218" t="s">
        <v>212</v>
      </c>
      <c r="C134" s="247">
        <v>-4000</v>
      </c>
      <c r="D134" s="206"/>
      <c r="E134" s="214"/>
      <c r="F134" s="247">
        <v>-74680</v>
      </c>
      <c r="G134" s="206"/>
      <c r="H134" s="214"/>
      <c r="I134" s="1">
        <f t="shared" si="2"/>
        <v>70680</v>
      </c>
      <c r="J134" s="1">
        <f t="shared" si="2"/>
        <v>0</v>
      </c>
      <c r="K134" s="1">
        <f t="shared" si="2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23">
        <v>3950</v>
      </c>
      <c r="B135" s="218" t="s">
        <v>214</v>
      </c>
      <c r="C135" s="247">
        <v>-7923.48</v>
      </c>
      <c r="D135" s="206"/>
      <c r="E135" s="214"/>
      <c r="F135" s="247">
        <v>-26049.95</v>
      </c>
      <c r="G135" s="206"/>
      <c r="H135" s="214"/>
      <c r="I135" s="1">
        <f t="shared" si="2"/>
        <v>18126.47</v>
      </c>
      <c r="J135" s="1">
        <f t="shared" si="2"/>
        <v>0</v>
      </c>
      <c r="K135" s="1">
        <f t="shared" si="2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23">
        <v>3960</v>
      </c>
      <c r="B136" s="218" t="s">
        <v>216</v>
      </c>
      <c r="C136" s="247">
        <v>-57783</v>
      </c>
      <c r="D136" s="206"/>
      <c r="E136" s="214"/>
      <c r="F136" s="247">
        <v>-24980</v>
      </c>
      <c r="G136" s="206"/>
      <c r="H136" s="214"/>
      <c r="I136" s="1">
        <f t="shared" si="2"/>
        <v>-32803</v>
      </c>
      <c r="J136" s="1">
        <f t="shared" si="2"/>
        <v>0</v>
      </c>
      <c r="K136" s="1">
        <f t="shared" si="2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23">
        <v>3970</v>
      </c>
      <c r="B137" s="218" t="s">
        <v>218</v>
      </c>
      <c r="C137" s="247">
        <v>-178575.95</v>
      </c>
      <c r="D137" s="206"/>
      <c r="E137" s="214"/>
      <c r="F137" s="247">
        <v>-74997</v>
      </c>
      <c r="G137" s="206"/>
      <c r="H137" s="214"/>
      <c r="I137" s="1">
        <f t="shared" si="2"/>
        <v>-103578.95000000001</v>
      </c>
      <c r="J137" s="1">
        <f t="shared" si="2"/>
        <v>0</v>
      </c>
      <c r="K137" s="1">
        <f t="shared" si="2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23">
        <v>3990</v>
      </c>
      <c r="B138" s="218" t="s">
        <v>220</v>
      </c>
      <c r="C138" s="283">
        <v>-550862.69999999995</v>
      </c>
      <c r="D138" s="279">
        <f>C115+C117+C118+C119+C121+C122+C123+C124+C127+C129+C134+C135+C136+C137+C138+C139+C140</f>
        <v>-2350386.1599999997</v>
      </c>
      <c r="E138" s="274"/>
      <c r="F138" s="279">
        <v>-858949.41</v>
      </c>
      <c r="G138" s="279">
        <f>F115+F117+F118+F119+F121+F122+F123+F124+F127+F134+F135+F136+F137+F138+F129+F140+F139+F116+F128</f>
        <v>-3371690.4700000007</v>
      </c>
      <c r="H138" s="217"/>
      <c r="I138" s="1">
        <f t="shared" si="2"/>
        <v>308086.71000000008</v>
      </c>
      <c r="J138" s="1">
        <f>D138-G138</f>
        <v>1021304.310000001</v>
      </c>
      <c r="K138" s="1">
        <f t="shared" si="2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23">
        <v>3991</v>
      </c>
      <c r="B139" s="218" t="s">
        <v>832</v>
      </c>
      <c r="C139" s="283">
        <v>0</v>
      </c>
      <c r="D139" s="279"/>
      <c r="E139" s="274"/>
      <c r="F139" s="279">
        <v>0</v>
      </c>
      <c r="G139" s="279"/>
      <c r="H139" s="217"/>
      <c r="I139" s="1">
        <f t="shared" si="2"/>
        <v>0</v>
      </c>
      <c r="J139" s="1"/>
      <c r="K139" s="1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 ht="13.8" thickBot="1">
      <c r="A140" s="223">
        <v>3991</v>
      </c>
      <c r="B140" s="218" t="s">
        <v>832</v>
      </c>
      <c r="C140" s="275">
        <v>-3185.51</v>
      </c>
      <c r="D140" s="276"/>
      <c r="E140" s="277"/>
      <c r="F140" s="275">
        <v>-63972.6</v>
      </c>
      <c r="G140" s="276"/>
      <c r="H140" s="278"/>
      <c r="I140" s="1"/>
      <c r="K140" s="1">
        <f t="shared" ref="K140:K207" si="3">E140-H140</f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/>
      <c r="B141" s="213" t="s">
        <v>593</v>
      </c>
      <c r="C141" s="241">
        <f>SUM(C115:C140)</f>
        <v>-6121468.5899999999</v>
      </c>
      <c r="D141" s="206"/>
      <c r="E141" s="214">
        <f>SUM(D120:D138)</f>
        <v>-6121468.5899999999</v>
      </c>
      <c r="F141" s="241">
        <f>SUM(F115:F140)</f>
        <v>-6908679.8799999999</v>
      </c>
      <c r="G141" s="206"/>
      <c r="H141" s="214">
        <f>SUM(G120:G138)</f>
        <v>-6908679.8800000008</v>
      </c>
      <c r="I141" s="1"/>
      <c r="K141" s="1">
        <f t="shared" si="3"/>
        <v>787211.29000000097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/>
      <c r="B142" s="213"/>
      <c r="C142" s="241" t="s">
        <v>374</v>
      </c>
      <c r="D142" s="206"/>
      <c r="E142" s="214"/>
      <c r="F142" s="241"/>
      <c r="G142" s="206"/>
      <c r="H142" s="214"/>
      <c r="I142" s="1"/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4.4">
      <c r="A143" s="215">
        <v>4000</v>
      </c>
      <c r="B143" s="216" t="s">
        <v>769</v>
      </c>
      <c r="C143" s="250">
        <v>0</v>
      </c>
      <c r="D143" s="206"/>
      <c r="E143" s="214"/>
      <c r="F143" s="250">
        <v>0</v>
      </c>
      <c r="G143" s="206"/>
      <c r="H143" s="214"/>
      <c r="I143" s="1">
        <f t="shared" ref="I143:K214" si="4">C143-F143</f>
        <v>0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4110</v>
      </c>
      <c r="B144" s="213" t="s">
        <v>696</v>
      </c>
      <c r="C144" s="250">
        <v>243197.3</v>
      </c>
      <c r="D144" s="206"/>
      <c r="E144" s="214"/>
      <c r="F144" s="250">
        <v>207631.64</v>
      </c>
      <c r="G144" s="206"/>
      <c r="H144" s="214"/>
      <c r="I144" s="1">
        <f t="shared" si="4"/>
        <v>35565.659999999974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4120</v>
      </c>
      <c r="B145" s="213" t="s">
        <v>697</v>
      </c>
      <c r="C145" s="250">
        <v>707994.5</v>
      </c>
      <c r="D145" s="206"/>
      <c r="E145" s="214"/>
      <c r="F145" s="250">
        <v>368472.89</v>
      </c>
      <c r="G145" s="206"/>
      <c r="H145" s="214"/>
      <c r="I145" s="1">
        <f t="shared" si="4"/>
        <v>339521.61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4150</v>
      </c>
      <c r="B146" s="213" t="s">
        <v>698</v>
      </c>
      <c r="C146" s="250">
        <v>0</v>
      </c>
      <c r="D146" s="206"/>
      <c r="E146" s="214"/>
      <c r="F146" s="250">
        <v>7860</v>
      </c>
      <c r="G146" s="206"/>
      <c r="H146" s="214"/>
      <c r="I146" s="1">
        <f t="shared" si="4"/>
        <v>-7860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4160</v>
      </c>
      <c r="B147" s="213" t="s">
        <v>444</v>
      </c>
      <c r="C147" s="250">
        <v>0</v>
      </c>
      <c r="D147" s="206"/>
      <c r="E147" s="214"/>
      <c r="F147" s="250">
        <v>0</v>
      </c>
      <c r="G147" s="206"/>
      <c r="H147" s="214"/>
      <c r="I147" s="1">
        <f t="shared" si="4"/>
        <v>0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4200</v>
      </c>
      <c r="B148" s="213" t="s">
        <v>323</v>
      </c>
      <c r="C148" s="250">
        <v>437968.46</v>
      </c>
      <c r="D148" s="206"/>
      <c r="E148" s="214"/>
      <c r="F148" s="250">
        <v>363645.38</v>
      </c>
      <c r="G148" s="206"/>
      <c r="H148" s="214"/>
      <c r="I148" s="1">
        <f t="shared" si="4"/>
        <v>74323.080000000016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4300</v>
      </c>
      <c r="B149" s="213" t="s">
        <v>699</v>
      </c>
      <c r="C149" s="250">
        <v>5814.7</v>
      </c>
      <c r="D149" s="206"/>
      <c r="E149" s="214"/>
      <c r="F149" s="250">
        <v>2976</v>
      </c>
      <c r="G149" s="206"/>
      <c r="H149" s="214"/>
      <c r="I149" s="1">
        <f t="shared" si="4"/>
        <v>2838.7</v>
      </c>
      <c r="J149" s="1">
        <f t="shared" si="4"/>
        <v>0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4350</v>
      </c>
      <c r="B150" s="213" t="s">
        <v>833</v>
      </c>
      <c r="C150" s="250">
        <v>0</v>
      </c>
      <c r="D150" s="206"/>
      <c r="E150" s="214"/>
      <c r="F150" s="250">
        <v>0</v>
      </c>
      <c r="G150" s="206"/>
      <c r="H150" s="214"/>
      <c r="I150" s="1">
        <f t="shared" si="4"/>
        <v>0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4500</v>
      </c>
      <c r="B151" s="213" t="s">
        <v>700</v>
      </c>
      <c r="C151" s="250">
        <v>21990</v>
      </c>
      <c r="D151" s="206"/>
      <c r="E151" s="214"/>
      <c r="F151" s="250">
        <v>75016.69</v>
      </c>
      <c r="G151" s="206"/>
      <c r="H151" s="214"/>
      <c r="I151" s="1">
        <f t="shared" si="4"/>
        <v>-53026.69</v>
      </c>
      <c r="J151" s="1">
        <f t="shared" si="4"/>
        <v>0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4510</v>
      </c>
      <c r="B152" s="213" t="s">
        <v>701</v>
      </c>
      <c r="C152" s="250">
        <v>229169.73</v>
      </c>
      <c r="D152" s="206"/>
      <c r="E152" s="214"/>
      <c r="F152" s="250">
        <v>232711.95</v>
      </c>
      <c r="G152" s="206"/>
      <c r="H152" s="214"/>
      <c r="I152" s="1">
        <f t="shared" si="4"/>
        <v>-3542.2200000000012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4590</v>
      </c>
      <c r="B153" s="213" t="s">
        <v>435</v>
      </c>
      <c r="C153" s="250">
        <v>7811.79</v>
      </c>
      <c r="D153" s="206"/>
      <c r="E153" s="214"/>
      <c r="F153" s="250">
        <v>-14864.88</v>
      </c>
      <c r="G153" s="206"/>
      <c r="H153" s="214"/>
      <c r="I153" s="1">
        <f t="shared" si="4"/>
        <v>22676.67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4610</v>
      </c>
      <c r="B154" s="213" t="s">
        <v>702</v>
      </c>
      <c r="C154" s="250">
        <v>377347.18</v>
      </c>
      <c r="D154" s="206"/>
      <c r="E154" s="214"/>
      <c r="F154" s="250">
        <v>95691</v>
      </c>
      <c r="G154" s="206"/>
      <c r="H154" s="214"/>
      <c r="I154" s="1">
        <f t="shared" si="4"/>
        <v>281656.18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4700</v>
      </c>
      <c r="B155" s="213" t="s">
        <v>335</v>
      </c>
      <c r="C155" s="250">
        <v>525849.75</v>
      </c>
      <c r="D155" s="206"/>
      <c r="E155" s="214"/>
      <c r="F155" s="250">
        <v>661359.44999999995</v>
      </c>
      <c r="G155" s="206"/>
      <c r="H155" s="214"/>
      <c r="I155" s="1">
        <f t="shared" si="4"/>
        <v>-135509.69999999995</v>
      </c>
      <c r="J155" s="1">
        <f t="shared" si="4"/>
        <v>0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4800</v>
      </c>
      <c r="B156" s="213" t="s">
        <v>703</v>
      </c>
      <c r="C156" s="250">
        <v>347369.63</v>
      </c>
      <c r="D156" s="206"/>
      <c r="E156" s="214"/>
      <c r="F156" s="250">
        <v>450109.68</v>
      </c>
      <c r="G156" s="206"/>
      <c r="H156" s="214"/>
      <c r="I156" s="1">
        <f t="shared" si="4"/>
        <v>-102740.04999999999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4">
      <c r="A157" s="215">
        <v>4900</v>
      </c>
      <c r="B157" s="216" t="s">
        <v>770</v>
      </c>
      <c r="C157" s="250">
        <v>0</v>
      </c>
      <c r="D157" s="206"/>
      <c r="E157" s="214"/>
      <c r="F157" s="250">
        <v>0</v>
      </c>
      <c r="G157" s="206"/>
      <c r="H157" s="214"/>
      <c r="I157" s="1">
        <f t="shared" si="4"/>
        <v>0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4990</v>
      </c>
      <c r="B158" s="213" t="s">
        <v>704</v>
      </c>
      <c r="C158" s="250">
        <v>245994.76</v>
      </c>
      <c r="D158" s="206"/>
      <c r="E158" s="214"/>
      <c r="F158" s="250">
        <v>94389.34</v>
      </c>
      <c r="G158" s="206"/>
      <c r="H158" s="214"/>
      <c r="I158" s="1">
        <f t="shared" si="4"/>
        <v>151605.42000000001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/>
      <c r="B159" s="213" t="s">
        <v>595</v>
      </c>
      <c r="C159" s="250">
        <f>SUM(C143:C158)</f>
        <v>3150507.8</v>
      </c>
      <c r="D159" s="234">
        <f>C159</f>
        <v>3150507.8</v>
      </c>
      <c r="E159" s="214"/>
      <c r="F159" s="250">
        <v>2544999.14</v>
      </c>
      <c r="G159" s="234">
        <f>F159</f>
        <v>2544999.14</v>
      </c>
      <c r="H159" s="214"/>
      <c r="I159" s="1">
        <f t="shared" si="4"/>
        <v>605508.65999999968</v>
      </c>
      <c r="J159" s="1">
        <f t="shared" si="4"/>
        <v>605508.65999999968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/>
      <c r="B160" s="213"/>
      <c r="C160" s="241" t="s">
        <v>374</v>
      </c>
      <c r="D160" s="206"/>
      <c r="E160" s="214"/>
      <c r="F160" s="241"/>
      <c r="G160" s="206"/>
      <c r="H160" s="214"/>
      <c r="I160" s="1">
        <v>0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5000</v>
      </c>
      <c r="B161" s="213" t="s">
        <v>834</v>
      </c>
      <c r="C161" s="251">
        <v>0</v>
      </c>
      <c r="D161" s="206"/>
      <c r="E161" s="214"/>
      <c r="F161" s="251">
        <v>0</v>
      </c>
      <c r="G161" s="206"/>
      <c r="H161" s="214"/>
      <c r="I161" s="1">
        <f t="shared" si="4"/>
        <v>0</v>
      </c>
      <c r="J161" s="1">
        <f t="shared" si="4"/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5010</v>
      </c>
      <c r="B162" s="213" t="s">
        <v>596</v>
      </c>
      <c r="C162" s="251">
        <v>415775.99</v>
      </c>
      <c r="D162" s="206"/>
      <c r="E162" s="214"/>
      <c r="F162" s="251">
        <v>376840.25</v>
      </c>
      <c r="G162" s="206"/>
      <c r="H162" s="214"/>
      <c r="I162" s="1">
        <f t="shared" si="4"/>
        <v>38935.739999999991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5011</v>
      </c>
      <c r="B163" s="213" t="s">
        <v>597</v>
      </c>
      <c r="C163" s="251">
        <v>150558.29</v>
      </c>
      <c r="D163" s="206"/>
      <c r="E163" s="214"/>
      <c r="F163" s="251">
        <v>345412.83</v>
      </c>
      <c r="G163" s="206"/>
      <c r="H163" s="214"/>
      <c r="I163" s="1">
        <f t="shared" si="4"/>
        <v>-194854.54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5020</v>
      </c>
      <c r="B164" s="213" t="s">
        <v>900</v>
      </c>
      <c r="C164" s="251">
        <v>0</v>
      </c>
      <c r="D164" s="206"/>
      <c r="E164" s="214"/>
      <c r="F164" s="251">
        <v>0</v>
      </c>
      <c r="G164" s="206"/>
      <c r="H164" s="214"/>
      <c r="I164" s="1">
        <f t="shared" si="4"/>
        <v>0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5030</v>
      </c>
      <c r="B165" s="213" t="s">
        <v>866</v>
      </c>
      <c r="C165" s="251">
        <v>4000</v>
      </c>
      <c r="D165" s="206"/>
      <c r="E165" s="214"/>
      <c r="F165" s="251">
        <v>0</v>
      </c>
      <c r="G165" s="206"/>
      <c r="H165" s="214"/>
      <c r="I165" s="1">
        <f t="shared" si="4"/>
        <v>4000</v>
      </c>
      <c r="J165" s="1">
        <f t="shared" si="4"/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4.4">
      <c r="A166" s="215">
        <v>5090</v>
      </c>
      <c r="B166" s="216" t="s">
        <v>771</v>
      </c>
      <c r="C166" s="251">
        <v>49893.120000000003</v>
      </c>
      <c r="D166" s="206"/>
      <c r="E166" s="214"/>
      <c r="F166" s="251">
        <v>45220.83</v>
      </c>
      <c r="G166" s="206"/>
      <c r="H166" s="214"/>
      <c r="I166" s="1">
        <f t="shared" si="4"/>
        <v>4672.2900000000009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4.4">
      <c r="A167" s="215">
        <v>5095</v>
      </c>
      <c r="B167" s="216" t="s">
        <v>867</v>
      </c>
      <c r="C167" s="251">
        <v>-4000</v>
      </c>
      <c r="D167" s="206"/>
      <c r="E167" s="214"/>
      <c r="F167" s="251">
        <v>0</v>
      </c>
      <c r="G167" s="206"/>
      <c r="H167" s="214"/>
      <c r="I167" s="1">
        <f t="shared" si="4"/>
        <v>-4000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5250</v>
      </c>
      <c r="B168" s="213" t="s">
        <v>600</v>
      </c>
      <c r="C168" s="251">
        <v>7659.22</v>
      </c>
      <c r="D168" s="206"/>
      <c r="E168" s="214"/>
      <c r="F168" s="251">
        <v>6148.34</v>
      </c>
      <c r="G168" s="206"/>
      <c r="H168" s="214"/>
      <c r="I168" s="1">
        <f t="shared" si="4"/>
        <v>1510.88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5270</v>
      </c>
      <c r="B169" s="213" t="s">
        <v>601</v>
      </c>
      <c r="C169" s="251">
        <v>4392</v>
      </c>
      <c r="D169" s="206" t="s">
        <v>374</v>
      </c>
      <c r="E169" s="214"/>
      <c r="F169" s="251">
        <v>4026</v>
      </c>
      <c r="G169" s="206"/>
      <c r="H169" s="214"/>
      <c r="I169" s="1">
        <f t="shared" si="4"/>
        <v>366</v>
      </c>
      <c r="J169" s="1"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5290</v>
      </c>
      <c r="B170" s="213" t="s">
        <v>602</v>
      </c>
      <c r="C170" s="251">
        <v>-12051.22</v>
      </c>
      <c r="D170" s="206"/>
      <c r="E170" s="214"/>
      <c r="F170" s="251">
        <v>-10174.34</v>
      </c>
      <c r="G170" s="206"/>
      <c r="H170" s="214"/>
      <c r="I170" s="1">
        <f t="shared" si="4"/>
        <v>-1876.8799999999992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 ht="14.4">
      <c r="A171" s="215">
        <v>5310</v>
      </c>
      <c r="B171" s="216" t="s">
        <v>772</v>
      </c>
      <c r="C171" s="251">
        <v>572.14</v>
      </c>
      <c r="D171" s="206"/>
      <c r="E171" s="214"/>
      <c r="F171" s="251">
        <v>0</v>
      </c>
      <c r="G171" s="206"/>
      <c r="H171" s="214"/>
      <c r="I171" s="1">
        <f t="shared" si="4"/>
        <v>572.14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 ht="14.4">
      <c r="A172" s="215">
        <v>5320</v>
      </c>
      <c r="B172" s="343" t="s">
        <v>901</v>
      </c>
      <c r="C172" s="251">
        <v>230</v>
      </c>
      <c r="D172" s="206"/>
      <c r="E172" s="214"/>
      <c r="F172" s="251">
        <v>0</v>
      </c>
      <c r="G172" s="206"/>
      <c r="H172" s="214"/>
      <c r="I172" s="1">
        <f t="shared" si="4"/>
        <v>230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5330</v>
      </c>
      <c r="B173" s="213" t="s">
        <v>705</v>
      </c>
      <c r="C173" s="251">
        <v>0</v>
      </c>
      <c r="D173" s="206"/>
      <c r="E173" s="214"/>
      <c r="F173" s="251">
        <v>0</v>
      </c>
      <c r="G173" s="206"/>
      <c r="H173" s="214"/>
      <c r="I173" s="1">
        <f t="shared" si="4"/>
        <v>0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5350</v>
      </c>
      <c r="B174" s="213" t="s">
        <v>603</v>
      </c>
      <c r="C174" s="251">
        <v>139289.99</v>
      </c>
      <c r="D174" s="206"/>
      <c r="E174" s="214"/>
      <c r="F174" s="251">
        <v>45444</v>
      </c>
      <c r="G174" s="206"/>
      <c r="H174" s="214"/>
      <c r="I174" s="1">
        <f t="shared" si="4"/>
        <v>93845.989999999991</v>
      </c>
      <c r="J174" s="1">
        <f t="shared" si="4"/>
        <v>0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5400</v>
      </c>
      <c r="B175" s="213" t="s">
        <v>232</v>
      </c>
      <c r="C175" s="251">
        <v>82229.62</v>
      </c>
      <c r="D175" s="206"/>
      <c r="E175" s="214"/>
      <c r="F175" s="251">
        <v>99464.51</v>
      </c>
      <c r="G175" s="206"/>
      <c r="H175" s="214"/>
      <c r="I175" s="1">
        <f t="shared" si="4"/>
        <v>-17234.89</v>
      </c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5401</v>
      </c>
      <c r="B176" s="213" t="s">
        <v>605</v>
      </c>
      <c r="C176" s="251">
        <v>7034.93</v>
      </c>
      <c r="D176" s="206"/>
      <c r="E176" s="214"/>
      <c r="F176" s="251">
        <v>6376.14</v>
      </c>
      <c r="G176" s="206"/>
      <c r="H176" s="214"/>
      <c r="I176" s="1">
        <f t="shared" si="4"/>
        <v>658.79</v>
      </c>
      <c r="J176" s="1">
        <f t="shared" si="4"/>
        <v>0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5800</v>
      </c>
      <c r="B177" s="213" t="s">
        <v>706</v>
      </c>
      <c r="C177" s="251">
        <v>0</v>
      </c>
      <c r="D177" s="206"/>
      <c r="E177" s="214"/>
      <c r="F177" s="251">
        <v>0</v>
      </c>
      <c r="G177" s="206"/>
      <c r="H177" s="214"/>
      <c r="I177" s="1">
        <f t="shared" si="4"/>
        <v>0</v>
      </c>
      <c r="J177" s="1">
        <f t="shared" si="4"/>
        <v>0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5801</v>
      </c>
      <c r="B178" s="213" t="s">
        <v>707</v>
      </c>
      <c r="C178" s="251">
        <v>0</v>
      </c>
      <c r="D178" s="206"/>
      <c r="E178" s="214"/>
      <c r="F178" s="251">
        <v>0</v>
      </c>
      <c r="G178" s="206"/>
      <c r="H178" s="214"/>
      <c r="I178" s="1">
        <f t="shared" si="4"/>
        <v>0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5802</v>
      </c>
      <c r="B179" s="213" t="s">
        <v>708</v>
      </c>
      <c r="C179" s="251">
        <v>0</v>
      </c>
      <c r="D179" s="206"/>
      <c r="E179" s="214"/>
      <c r="F179" s="251">
        <v>0</v>
      </c>
      <c r="G179" s="206"/>
      <c r="H179" s="214"/>
      <c r="I179" s="1">
        <f t="shared" si="4"/>
        <v>0</v>
      </c>
      <c r="J179" s="1">
        <f t="shared" si="4"/>
        <v>0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5900</v>
      </c>
      <c r="B180" s="218" t="s">
        <v>835</v>
      </c>
      <c r="C180" s="251">
        <v>2014</v>
      </c>
      <c r="D180" s="206"/>
      <c r="E180" s="214"/>
      <c r="F180" s="251">
        <v>1142.2</v>
      </c>
      <c r="G180" s="206"/>
      <c r="H180" s="214"/>
      <c r="I180" s="1">
        <f t="shared" si="4"/>
        <v>871.8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5901</v>
      </c>
      <c r="B181" s="218" t="s">
        <v>933</v>
      </c>
      <c r="C181" s="251">
        <v>0</v>
      </c>
      <c r="D181" s="206"/>
      <c r="E181" s="214"/>
      <c r="F181" s="251">
        <v>1155</v>
      </c>
      <c r="G181" s="206"/>
      <c r="H181" s="214"/>
      <c r="I181" s="1">
        <f t="shared" si="4"/>
        <v>-1155</v>
      </c>
      <c r="J181" s="1">
        <f t="shared" si="4"/>
        <v>0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5910</v>
      </c>
      <c r="B182" s="213" t="s">
        <v>836</v>
      </c>
      <c r="C182" s="251">
        <v>0</v>
      </c>
      <c r="D182" s="206"/>
      <c r="E182" s="214"/>
      <c r="F182" s="251">
        <v>0</v>
      </c>
      <c r="G182" s="206"/>
      <c r="H182" s="214"/>
      <c r="I182" s="1">
        <f t="shared" si="4"/>
        <v>0</v>
      </c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5945</v>
      </c>
      <c r="B183" s="213" t="s">
        <v>607</v>
      </c>
      <c r="C183" s="251">
        <v>8314.7000000000007</v>
      </c>
      <c r="D183" s="206"/>
      <c r="E183" s="214"/>
      <c r="F183" s="251">
        <v>6148.34</v>
      </c>
      <c r="G183" s="206"/>
      <c r="H183" s="214"/>
      <c r="I183" s="1">
        <f t="shared" si="4"/>
        <v>2166.3600000000006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5990</v>
      </c>
      <c r="B184" s="213" t="s">
        <v>608</v>
      </c>
      <c r="C184" s="251">
        <v>1159</v>
      </c>
      <c r="D184" s="206"/>
      <c r="E184" s="214"/>
      <c r="F184" s="251">
        <v>3124</v>
      </c>
      <c r="G184" s="226"/>
      <c r="H184" s="214"/>
      <c r="I184" s="1">
        <f t="shared" si="4"/>
        <v>-1965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/>
      <c r="B185" s="213" t="s">
        <v>609</v>
      </c>
      <c r="C185" s="251">
        <f>SUM(C161:C184)</f>
        <v>857071.78</v>
      </c>
      <c r="D185" s="235">
        <f>C185</f>
        <v>857071.78</v>
      </c>
      <c r="E185" s="214"/>
      <c r="F185" s="251">
        <f>SUM(F161:F184)</f>
        <v>930328.1</v>
      </c>
      <c r="G185" s="235">
        <f>F185</f>
        <v>930328.1</v>
      </c>
      <c r="H185" s="214"/>
      <c r="I185" s="1">
        <f t="shared" si="4"/>
        <v>-73256.319999999949</v>
      </c>
      <c r="J185" s="1">
        <f t="shared" si="4"/>
        <v>-73256.319999999949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/>
      <c r="B186" s="213"/>
      <c r="C186" s="241" t="s">
        <v>374</v>
      </c>
      <c r="D186" s="206"/>
      <c r="E186" s="214"/>
      <c r="F186" s="241"/>
      <c r="G186" s="206"/>
      <c r="H186" s="214"/>
      <c r="I186" s="1"/>
      <c r="J186" s="1">
        <f t="shared" si="4"/>
        <v>0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6000</v>
      </c>
      <c r="B187" s="218" t="s">
        <v>934</v>
      </c>
      <c r="C187" s="252">
        <v>213262.41</v>
      </c>
      <c r="D187" s="236"/>
      <c r="E187" s="214"/>
      <c r="F187" s="252">
        <v>17771.87</v>
      </c>
      <c r="G187" s="236"/>
      <c r="H187" s="214"/>
      <c r="I187" s="1">
        <f t="shared" si="4"/>
        <v>195490.54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6010</v>
      </c>
      <c r="B188" s="218" t="s">
        <v>247</v>
      </c>
      <c r="C188" s="252">
        <v>113146.48</v>
      </c>
      <c r="D188" s="236"/>
      <c r="E188" s="214"/>
      <c r="F188" s="252">
        <v>144702.48000000001</v>
      </c>
      <c r="G188" s="236"/>
      <c r="H188" s="214"/>
      <c r="I188" s="1">
        <f t="shared" si="4"/>
        <v>-31556.000000000015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6015</v>
      </c>
      <c r="B189" s="218" t="s">
        <v>837</v>
      </c>
      <c r="C189" s="252">
        <v>0</v>
      </c>
      <c r="D189" s="236"/>
      <c r="E189" s="214"/>
      <c r="F189" s="252">
        <v>13803</v>
      </c>
      <c r="G189" s="236"/>
      <c r="H189" s="214"/>
      <c r="I189" s="1">
        <f t="shared" si="4"/>
        <v>-13803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6017</v>
      </c>
      <c r="B190" s="218" t="s">
        <v>935</v>
      </c>
      <c r="C190" s="252">
        <v>74083.42</v>
      </c>
      <c r="D190" s="236">
        <f>SUM(C187:C190)</f>
        <v>400492.31</v>
      </c>
      <c r="E190" s="214"/>
      <c r="F190" s="252">
        <v>72083.42</v>
      </c>
      <c r="G190" s="236">
        <f>SUM(F187:F190)</f>
        <v>248360.77000000002</v>
      </c>
      <c r="H190" s="214"/>
      <c r="I190" s="1">
        <f t="shared" si="4"/>
        <v>2000</v>
      </c>
      <c r="J190" s="1">
        <f t="shared" si="4"/>
        <v>152131.53999999998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6100</v>
      </c>
      <c r="B191" s="213" t="s">
        <v>838</v>
      </c>
      <c r="C191" s="246">
        <v>247</v>
      </c>
      <c r="D191" s="230"/>
      <c r="E191" s="214"/>
      <c r="F191" s="246">
        <v>0</v>
      </c>
      <c r="G191" s="230"/>
      <c r="H191" s="214"/>
      <c r="I191" s="1">
        <f t="shared" si="4"/>
        <v>247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6110</v>
      </c>
      <c r="B192" s="213" t="s">
        <v>610</v>
      </c>
      <c r="C192" s="246">
        <v>0</v>
      </c>
      <c r="D192" s="206"/>
      <c r="E192" s="214"/>
      <c r="F192" s="246">
        <v>4999</v>
      </c>
      <c r="G192" s="206"/>
      <c r="H192" s="214"/>
      <c r="I192" s="1">
        <f t="shared" si="4"/>
        <v>-4999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 ht="14.4">
      <c r="A193" s="215">
        <v>6300</v>
      </c>
      <c r="B193" s="216" t="s">
        <v>773</v>
      </c>
      <c r="C193" s="246">
        <v>81120</v>
      </c>
      <c r="D193" s="206"/>
      <c r="E193" s="214"/>
      <c r="F193" s="246">
        <v>47999</v>
      </c>
      <c r="G193" s="206"/>
      <c r="H193" s="214"/>
      <c r="I193" s="1">
        <f t="shared" si="4"/>
        <v>33121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6320</v>
      </c>
      <c r="B194" s="213" t="s">
        <v>611</v>
      </c>
      <c r="C194" s="246">
        <v>47314.13</v>
      </c>
      <c r="D194" s="206"/>
      <c r="E194" s="214"/>
      <c r="F194" s="246">
        <v>41583.019999999997</v>
      </c>
      <c r="G194" s="206"/>
      <c r="H194" s="214"/>
      <c r="I194" s="1">
        <f t="shared" si="4"/>
        <v>5731.1100000000006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6340</v>
      </c>
      <c r="B195" s="213" t="s">
        <v>253</v>
      </c>
      <c r="C195" s="246">
        <v>49028.94</v>
      </c>
      <c r="D195" s="206"/>
      <c r="E195" s="214"/>
      <c r="F195" s="246">
        <v>-1946.39</v>
      </c>
      <c r="G195" s="206"/>
      <c r="H195" s="214"/>
      <c r="I195" s="1">
        <f t="shared" si="4"/>
        <v>50975.33</v>
      </c>
      <c r="J195" s="1">
        <f t="shared" si="4"/>
        <v>0</v>
      </c>
      <c r="K195" s="1">
        <f t="shared" si="3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6360</v>
      </c>
      <c r="B196" s="213" t="s">
        <v>255</v>
      </c>
      <c r="C196" s="246">
        <v>1226.3</v>
      </c>
      <c r="D196" s="206"/>
      <c r="E196" s="214"/>
      <c r="F196" s="246">
        <v>1958.14</v>
      </c>
      <c r="G196" s="206"/>
      <c r="H196" s="214"/>
      <c r="I196" s="1">
        <f t="shared" si="4"/>
        <v>-731.84000000000015</v>
      </c>
      <c r="J196" s="1">
        <f t="shared" si="4"/>
        <v>0</v>
      </c>
      <c r="K196" s="1">
        <f t="shared" si="3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6390</v>
      </c>
      <c r="B197" s="213" t="s">
        <v>612</v>
      </c>
      <c r="C197" s="246">
        <v>0</v>
      </c>
      <c r="D197" s="206"/>
      <c r="E197" s="214"/>
      <c r="F197" s="246">
        <v>0</v>
      </c>
      <c r="G197" s="206"/>
      <c r="H197" s="214"/>
      <c r="I197" s="1">
        <f t="shared" si="4"/>
        <v>0</v>
      </c>
      <c r="J197" s="1">
        <f t="shared" si="4"/>
        <v>0</v>
      </c>
      <c r="K197" s="1">
        <f t="shared" si="3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6420</v>
      </c>
      <c r="B198" s="213" t="s">
        <v>614</v>
      </c>
      <c r="C198" s="246">
        <v>0</v>
      </c>
      <c r="D198" s="206"/>
      <c r="E198" s="214"/>
      <c r="F198" s="246">
        <v>0</v>
      </c>
      <c r="G198" s="206"/>
      <c r="H198" s="214"/>
      <c r="I198" s="1">
        <f t="shared" si="4"/>
        <v>0</v>
      </c>
      <c r="J198" s="1">
        <f t="shared" si="4"/>
        <v>0</v>
      </c>
      <c r="K198" s="1">
        <f t="shared" si="3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4.4">
      <c r="A199" s="215">
        <v>6440</v>
      </c>
      <c r="B199" s="216" t="s">
        <v>774</v>
      </c>
      <c r="C199" s="246">
        <v>12627.44</v>
      </c>
      <c r="D199" s="206"/>
      <c r="E199" s="214"/>
      <c r="F199" s="246">
        <v>45830.29</v>
      </c>
      <c r="G199" s="206"/>
      <c r="H199" s="214"/>
      <c r="I199" s="1">
        <f t="shared" si="4"/>
        <v>-33202.85</v>
      </c>
      <c r="J199" s="1">
        <f t="shared" si="4"/>
        <v>0</v>
      </c>
      <c r="K199" s="1">
        <f t="shared" si="3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4.4">
      <c r="A200" s="215">
        <v>6490</v>
      </c>
      <c r="B200" s="216" t="s">
        <v>775</v>
      </c>
      <c r="C200" s="246">
        <v>1275</v>
      </c>
      <c r="D200" s="206"/>
      <c r="E200" s="214"/>
      <c r="F200" s="246">
        <v>7240</v>
      </c>
      <c r="G200" s="206"/>
      <c r="H200" s="214"/>
      <c r="I200" s="1">
        <f t="shared" si="4"/>
        <v>-5965</v>
      </c>
      <c r="J200" s="1">
        <f t="shared" si="4"/>
        <v>0</v>
      </c>
      <c r="K200" s="1">
        <f t="shared" si="3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6540</v>
      </c>
      <c r="B201" s="213" t="s">
        <v>14</v>
      </c>
      <c r="C201" s="246">
        <v>72108.350000000006</v>
      </c>
      <c r="D201" s="206"/>
      <c r="E201" s="214"/>
      <c r="F201" s="246">
        <v>1898</v>
      </c>
      <c r="G201" s="206"/>
      <c r="H201" s="214"/>
      <c r="I201" s="1">
        <f t="shared" si="4"/>
        <v>70210.350000000006</v>
      </c>
      <c r="J201" s="1">
        <f t="shared" si="4"/>
        <v>0</v>
      </c>
      <c r="K201" s="1">
        <f t="shared" si="3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6550</v>
      </c>
      <c r="B202" s="213" t="s">
        <v>616</v>
      </c>
      <c r="C202" s="246">
        <v>157549.69</v>
      </c>
      <c r="D202" s="206"/>
      <c r="E202" s="214"/>
      <c r="F202" s="246">
        <v>17773.490000000002</v>
      </c>
      <c r="G202" s="206"/>
      <c r="H202" s="214"/>
      <c r="I202" s="1">
        <f t="shared" si="4"/>
        <v>139776.20000000001</v>
      </c>
      <c r="J202" s="1">
        <f t="shared" si="4"/>
        <v>0</v>
      </c>
      <c r="K202" s="1">
        <f t="shared" si="3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4.4">
      <c r="A203" s="215">
        <v>6570</v>
      </c>
      <c r="B203" s="216" t="s">
        <v>776</v>
      </c>
      <c r="C203" s="246">
        <v>2202.9</v>
      </c>
      <c r="D203" s="206"/>
      <c r="E203" s="214"/>
      <c r="F203" s="246">
        <v>0</v>
      </c>
      <c r="G203" s="206"/>
      <c r="H203" s="214"/>
      <c r="I203" s="1">
        <f t="shared" si="4"/>
        <v>2202.9</v>
      </c>
      <c r="J203" s="1">
        <f t="shared" si="4"/>
        <v>0</v>
      </c>
      <c r="K203" s="1">
        <f t="shared" si="3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 ht="14.4">
      <c r="A204" s="215">
        <v>6590</v>
      </c>
      <c r="B204" s="216" t="s">
        <v>777</v>
      </c>
      <c r="C204" s="246">
        <v>0</v>
      </c>
      <c r="D204" s="206"/>
      <c r="E204" s="214"/>
      <c r="F204" s="246">
        <v>0</v>
      </c>
      <c r="G204" s="206"/>
      <c r="H204" s="214"/>
      <c r="I204" s="1">
        <f t="shared" si="4"/>
        <v>0</v>
      </c>
      <c r="J204" s="1">
        <f t="shared" si="4"/>
        <v>0</v>
      </c>
      <c r="K204" s="1">
        <f t="shared" si="3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 ht="14.4">
      <c r="A205" s="215">
        <v>6600</v>
      </c>
      <c r="B205" s="216" t="s">
        <v>617</v>
      </c>
      <c r="C205" s="246">
        <v>6221.74</v>
      </c>
      <c r="D205" s="206"/>
      <c r="E205" s="214"/>
      <c r="F205" s="246">
        <v>0</v>
      </c>
      <c r="G205" s="206"/>
      <c r="H205" s="214"/>
      <c r="I205" s="1">
        <f t="shared" si="4"/>
        <v>6221.74</v>
      </c>
      <c r="J205" s="1">
        <f t="shared" si="4"/>
        <v>0</v>
      </c>
      <c r="K205" s="1">
        <f t="shared" si="3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6620</v>
      </c>
      <c r="B206" s="213" t="s">
        <v>618</v>
      </c>
      <c r="C206" s="246">
        <v>16284</v>
      </c>
      <c r="D206" s="206"/>
      <c r="E206" s="214"/>
      <c r="F206" s="246">
        <v>36810.910000000003</v>
      </c>
      <c r="G206" s="206"/>
      <c r="H206" s="214"/>
      <c r="I206" s="1">
        <f t="shared" si="4"/>
        <v>-20526.910000000003</v>
      </c>
      <c r="J206" s="1">
        <f t="shared" si="4"/>
        <v>0</v>
      </c>
      <c r="K206" s="1">
        <f t="shared" si="3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6700</v>
      </c>
      <c r="B207" s="213" t="s">
        <v>619</v>
      </c>
      <c r="C207" s="246">
        <v>72475</v>
      </c>
      <c r="D207" s="206"/>
      <c r="E207" s="214"/>
      <c r="F207" s="246">
        <v>62312.5</v>
      </c>
      <c r="G207" s="206"/>
      <c r="H207" s="214"/>
      <c r="I207" s="1">
        <f t="shared" si="4"/>
        <v>10162.5</v>
      </c>
      <c r="J207" s="1">
        <f t="shared" si="4"/>
        <v>0</v>
      </c>
      <c r="K207" s="1">
        <f t="shared" si="3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6712</v>
      </c>
      <c r="B208" s="213" t="s">
        <v>620</v>
      </c>
      <c r="C208" s="246">
        <v>533602.93000000005</v>
      </c>
      <c r="D208" s="206"/>
      <c r="E208" s="214"/>
      <c r="F208" s="246">
        <v>529580</v>
      </c>
      <c r="G208" s="206"/>
      <c r="H208" s="214"/>
      <c r="I208" s="1">
        <f t="shared" si="4"/>
        <v>4022.9300000000512</v>
      </c>
      <c r="J208" s="1">
        <f t="shared" si="4"/>
        <v>0</v>
      </c>
      <c r="K208" s="1">
        <f t="shared" si="4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6730</v>
      </c>
      <c r="B209" s="213" t="s">
        <v>279</v>
      </c>
      <c r="C209" s="246">
        <v>48750</v>
      </c>
      <c r="D209" s="206"/>
      <c r="E209" s="214"/>
      <c r="F209" s="246">
        <v>85825</v>
      </c>
      <c r="G209" s="206"/>
      <c r="H209" s="214"/>
      <c r="I209" s="1">
        <f t="shared" si="4"/>
        <v>-37075</v>
      </c>
      <c r="J209" s="1">
        <f t="shared" si="4"/>
        <v>0</v>
      </c>
      <c r="K209" s="1">
        <f t="shared" si="4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6790</v>
      </c>
      <c r="B210" s="213" t="s">
        <v>621</v>
      </c>
      <c r="C210" s="246">
        <v>6000</v>
      </c>
      <c r="D210" s="206"/>
      <c r="E210" s="214"/>
      <c r="F210" s="246">
        <v>63500</v>
      </c>
      <c r="G210" s="206"/>
      <c r="H210" s="214"/>
      <c r="I210" s="1">
        <f t="shared" si="4"/>
        <v>-57500</v>
      </c>
      <c r="J210" s="1">
        <f t="shared" si="4"/>
        <v>0</v>
      </c>
      <c r="K210" s="1">
        <f t="shared" si="4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6800</v>
      </c>
      <c r="B211" s="213" t="s">
        <v>287</v>
      </c>
      <c r="C211" s="246">
        <v>13629.3</v>
      </c>
      <c r="D211" s="206"/>
      <c r="E211" s="214"/>
      <c r="F211" s="246">
        <v>6406.68</v>
      </c>
      <c r="G211" s="206"/>
      <c r="H211" s="214"/>
      <c r="I211" s="1">
        <f t="shared" si="4"/>
        <v>7222.619999999999</v>
      </c>
      <c r="J211" s="1">
        <f t="shared" si="4"/>
        <v>0</v>
      </c>
      <c r="K211" s="1">
        <f t="shared" si="4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6810</v>
      </c>
      <c r="B212" s="213" t="s">
        <v>622</v>
      </c>
      <c r="C212" s="246">
        <v>9753.76</v>
      </c>
      <c r="D212" s="206"/>
      <c r="E212" s="214"/>
      <c r="F212" s="246">
        <v>2830.88</v>
      </c>
      <c r="G212" s="206"/>
      <c r="H212" s="214"/>
      <c r="I212" s="1">
        <f t="shared" si="4"/>
        <v>6922.88</v>
      </c>
      <c r="J212" s="1">
        <f t="shared" si="4"/>
        <v>0</v>
      </c>
      <c r="K212" s="1">
        <f t="shared" si="4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6811</v>
      </c>
      <c r="B213" s="213" t="s">
        <v>623</v>
      </c>
      <c r="C213" s="246">
        <v>51047.91</v>
      </c>
      <c r="D213" s="206"/>
      <c r="E213" s="214"/>
      <c r="F213" s="246">
        <v>24110.38</v>
      </c>
      <c r="G213" s="206"/>
      <c r="H213" s="214"/>
      <c r="I213" s="1">
        <f t="shared" si="4"/>
        <v>26937.530000000002</v>
      </c>
      <c r="J213" s="1">
        <f t="shared" si="4"/>
        <v>0</v>
      </c>
      <c r="K213" s="1">
        <f t="shared" si="4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6820</v>
      </c>
      <c r="B214" s="213" t="s">
        <v>624</v>
      </c>
      <c r="C214" s="246">
        <v>5818.5</v>
      </c>
      <c r="D214" s="206"/>
      <c r="E214" s="214"/>
      <c r="F214" s="246">
        <v>1818.4</v>
      </c>
      <c r="G214" s="206"/>
      <c r="H214" s="214"/>
      <c r="I214" s="1">
        <f t="shared" si="4"/>
        <v>4000.1</v>
      </c>
      <c r="J214" s="1">
        <f t="shared" si="4"/>
        <v>0</v>
      </c>
      <c r="K214" s="1">
        <f t="shared" si="4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6840</v>
      </c>
      <c r="B215" s="213" t="s">
        <v>625</v>
      </c>
      <c r="C215" s="246">
        <v>12828.2</v>
      </c>
      <c r="D215" s="206"/>
      <c r="E215" s="214"/>
      <c r="F215" s="246">
        <v>0</v>
      </c>
      <c r="G215" s="206"/>
      <c r="H215" s="214"/>
      <c r="I215" s="1">
        <f t="shared" ref="I215:K258" si="5">C215-F215</f>
        <v>12828.2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6860</v>
      </c>
      <c r="B216" s="213" t="s">
        <v>626</v>
      </c>
      <c r="C216" s="246">
        <v>35727.480000000003</v>
      </c>
      <c r="D216" s="206"/>
      <c r="E216" s="214"/>
      <c r="F216" s="246">
        <v>5400</v>
      </c>
      <c r="G216" s="206"/>
      <c r="H216" s="214"/>
      <c r="I216" s="1">
        <f t="shared" si="5"/>
        <v>30327.480000000003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6900</v>
      </c>
      <c r="B217" s="213" t="s">
        <v>297</v>
      </c>
      <c r="C217" s="246">
        <v>14301.08</v>
      </c>
      <c r="D217" s="206"/>
      <c r="E217" s="214"/>
      <c r="F217" s="246">
        <v>4516.22</v>
      </c>
      <c r="G217" s="206"/>
      <c r="H217" s="214"/>
      <c r="I217" s="1">
        <f t="shared" si="5"/>
        <v>9784.86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6940</v>
      </c>
      <c r="B218" s="213" t="s">
        <v>299</v>
      </c>
      <c r="C218" s="246">
        <v>0</v>
      </c>
      <c r="D218" s="206"/>
      <c r="E218" s="214"/>
      <c r="F218" s="246">
        <v>0</v>
      </c>
      <c r="G218" s="206"/>
      <c r="H218" s="214"/>
      <c r="I218" s="1">
        <f t="shared" si="5"/>
        <v>0</v>
      </c>
      <c r="J218" s="1">
        <f t="shared" si="5"/>
        <v>0</v>
      </c>
      <c r="K218" s="1">
        <f t="shared" si="5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 ht="14.4">
      <c r="A219" s="215">
        <v>7000</v>
      </c>
      <c r="B219" s="216" t="s">
        <v>778</v>
      </c>
      <c r="C219" s="246">
        <v>0</v>
      </c>
      <c r="D219" s="206"/>
      <c r="E219" s="214"/>
      <c r="F219" s="246">
        <v>0</v>
      </c>
      <c r="G219" s="206"/>
      <c r="H219" s="214"/>
      <c r="I219" s="1">
        <f t="shared" si="5"/>
        <v>0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7100</v>
      </c>
      <c r="B220" s="213" t="s">
        <v>627</v>
      </c>
      <c r="C220" s="246">
        <v>44054.85</v>
      </c>
      <c r="D220" s="206"/>
      <c r="E220" s="214"/>
      <c r="F220" s="246">
        <v>20922.849999999999</v>
      </c>
      <c r="G220" s="206"/>
      <c r="H220" s="214"/>
      <c r="I220" s="1">
        <f t="shared" si="5"/>
        <v>23132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 ht="14.4">
      <c r="A221" s="215">
        <v>7101</v>
      </c>
      <c r="B221" s="216" t="s">
        <v>779</v>
      </c>
      <c r="C221" s="246">
        <v>4756.6000000000004</v>
      </c>
      <c r="D221" s="206"/>
      <c r="E221" s="214"/>
      <c r="F221" s="253">
        <v>151</v>
      </c>
      <c r="G221" s="206"/>
      <c r="H221" s="214"/>
      <c r="I221" s="1">
        <f t="shared" si="5"/>
        <v>4605.6000000000004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7110</v>
      </c>
      <c r="B222" s="213" t="s">
        <v>309</v>
      </c>
      <c r="C222" s="246">
        <v>0</v>
      </c>
      <c r="D222" s="206"/>
      <c r="E222" s="214"/>
      <c r="F222" s="246">
        <v>0</v>
      </c>
      <c r="G222" s="206"/>
      <c r="H222" s="214" t="s">
        <v>374</v>
      </c>
      <c r="I222" s="1">
        <f t="shared" si="5"/>
        <v>0</v>
      </c>
      <c r="J222" s="1">
        <f t="shared" si="5"/>
        <v>0</v>
      </c>
      <c r="K222" s="1"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7140</v>
      </c>
      <c r="B223" s="213" t="s">
        <v>709</v>
      </c>
      <c r="C223" s="246">
        <v>74251.31</v>
      </c>
      <c r="D223" s="206"/>
      <c r="E223" s="214"/>
      <c r="F223" s="246">
        <v>205865.66</v>
      </c>
      <c r="G223" s="206"/>
      <c r="H223" s="214"/>
      <c r="I223" s="1">
        <f t="shared" si="5"/>
        <v>-131614.35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7150</v>
      </c>
      <c r="B224" s="213" t="s">
        <v>710</v>
      </c>
      <c r="C224" s="246">
        <v>1423.25</v>
      </c>
      <c r="D224" s="206"/>
      <c r="E224" s="214"/>
      <c r="F224" s="246">
        <v>7315.83</v>
      </c>
      <c r="G224" s="206"/>
      <c r="H224" s="214"/>
      <c r="I224" s="1">
        <f t="shared" si="5"/>
        <v>-5892.58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7155</v>
      </c>
      <c r="B225" s="213" t="s">
        <v>869</v>
      </c>
      <c r="C225" s="246">
        <v>14629.18</v>
      </c>
      <c r="D225" s="206"/>
      <c r="E225" s="214"/>
      <c r="F225" s="246">
        <v>3871.86</v>
      </c>
      <c r="G225" s="206"/>
      <c r="H225" s="214"/>
      <c r="I225" s="1">
        <f t="shared" si="5"/>
        <v>10757.32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7160</v>
      </c>
      <c r="B226" s="213" t="s">
        <v>311</v>
      </c>
      <c r="C226" s="246">
        <v>0</v>
      </c>
      <c r="D226" s="206"/>
      <c r="E226" s="214"/>
      <c r="F226" s="246">
        <v>250</v>
      </c>
      <c r="G226" s="206"/>
      <c r="H226" s="214"/>
      <c r="I226" s="1">
        <f t="shared" si="5"/>
        <v>-250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7170</v>
      </c>
      <c r="B227" s="213" t="s">
        <v>313</v>
      </c>
      <c r="C227" s="246">
        <v>0</v>
      </c>
      <c r="D227" s="206"/>
      <c r="E227" s="214"/>
      <c r="F227" s="246">
        <v>0</v>
      </c>
      <c r="G227" s="206"/>
      <c r="H227" s="214"/>
      <c r="I227" s="1">
        <f t="shared" si="5"/>
        <v>0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7180</v>
      </c>
      <c r="B228" s="213" t="s">
        <v>315</v>
      </c>
      <c r="C228" s="246">
        <v>0</v>
      </c>
      <c r="D228" s="206"/>
      <c r="E228" s="214"/>
      <c r="F228" s="246">
        <v>0</v>
      </c>
      <c r="G228" s="206"/>
      <c r="H228" s="214"/>
      <c r="I228" s="1">
        <f t="shared" si="5"/>
        <v>0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12">
        <v>7300</v>
      </c>
      <c r="B229" s="213" t="s">
        <v>711</v>
      </c>
      <c r="C229" s="246">
        <v>0</v>
      </c>
      <c r="D229" s="206"/>
      <c r="E229" s="214"/>
      <c r="F229" s="246">
        <v>0</v>
      </c>
      <c r="G229" s="206"/>
      <c r="H229" s="214"/>
      <c r="I229" s="1">
        <f t="shared" si="5"/>
        <v>0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7320</v>
      </c>
      <c r="B230" s="213" t="s">
        <v>629</v>
      </c>
      <c r="C230" s="246">
        <v>15253.34</v>
      </c>
      <c r="D230" s="206"/>
      <c r="E230" s="214"/>
      <c r="F230" s="246">
        <v>18983.32</v>
      </c>
      <c r="G230" s="206"/>
      <c r="H230" s="214"/>
      <c r="I230" s="1">
        <f t="shared" si="5"/>
        <v>-3729.9799999999996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7390</v>
      </c>
      <c r="B231" s="218" t="s">
        <v>936</v>
      </c>
      <c r="C231" s="246">
        <v>0</v>
      </c>
      <c r="D231" s="206"/>
      <c r="E231" s="214"/>
      <c r="F231" s="246">
        <v>101710.56</v>
      </c>
      <c r="G231" s="206"/>
      <c r="H231" s="214"/>
      <c r="I231" s="1">
        <f t="shared" si="5"/>
        <v>-101710.56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7400</v>
      </c>
      <c r="B232" s="213" t="s">
        <v>712</v>
      </c>
      <c r="C232" s="246">
        <v>1000</v>
      </c>
      <c r="D232" s="206"/>
      <c r="E232" s="214"/>
      <c r="F232" s="246">
        <v>0</v>
      </c>
      <c r="G232" s="206"/>
      <c r="H232" s="214"/>
      <c r="I232" s="1">
        <f t="shared" si="5"/>
        <v>1000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7410</v>
      </c>
      <c r="B233" s="213" t="s">
        <v>323</v>
      </c>
      <c r="C233" s="246">
        <v>155</v>
      </c>
      <c r="D233" s="206"/>
      <c r="E233" s="214"/>
      <c r="F233" s="246">
        <v>0</v>
      </c>
      <c r="G233" s="206"/>
      <c r="H233" s="214"/>
      <c r="I233" s="1">
        <f t="shared" si="5"/>
        <v>155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12">
        <v>7420</v>
      </c>
      <c r="B234" s="213" t="s">
        <v>632</v>
      </c>
      <c r="C234" s="246">
        <v>901.8</v>
      </c>
      <c r="D234" s="206"/>
      <c r="E234" s="214"/>
      <c r="F234" s="246">
        <v>0</v>
      </c>
      <c r="G234" s="206"/>
      <c r="H234" s="214"/>
      <c r="I234" s="1">
        <f t="shared" si="5"/>
        <v>901.8</v>
      </c>
      <c r="J234" s="1">
        <f t="shared" si="5"/>
        <v>0</v>
      </c>
      <c r="K234" s="1">
        <f t="shared" si="5"/>
        <v>0</v>
      </c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>
        <v>7430</v>
      </c>
      <c r="B235" s="213" t="s">
        <v>633</v>
      </c>
      <c r="C235" s="246">
        <v>0</v>
      </c>
      <c r="D235" s="206"/>
      <c r="E235" s="214"/>
      <c r="F235" s="246">
        <v>0</v>
      </c>
      <c r="G235" s="206"/>
      <c r="H235" s="214"/>
      <c r="I235" s="1">
        <f t="shared" si="5"/>
        <v>0</v>
      </c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7500</v>
      </c>
      <c r="B236" s="213" t="s">
        <v>634</v>
      </c>
      <c r="C236" s="246">
        <v>105418</v>
      </c>
      <c r="D236" s="206"/>
      <c r="E236" s="214"/>
      <c r="F236" s="246">
        <v>86072</v>
      </c>
      <c r="G236" s="206"/>
      <c r="H236" s="214"/>
      <c r="I236" s="1">
        <f t="shared" si="5"/>
        <v>19346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>
      <c r="A237" s="212">
        <v>7510</v>
      </c>
      <c r="B237" s="213" t="s">
        <v>333</v>
      </c>
      <c r="C237" s="246">
        <v>12980</v>
      </c>
      <c r="D237" s="206"/>
      <c r="E237" s="214"/>
      <c r="F237" s="246">
        <v>0</v>
      </c>
      <c r="G237" s="206"/>
      <c r="H237" s="214"/>
      <c r="I237" s="1">
        <f t="shared" si="5"/>
        <v>12980</v>
      </c>
      <c r="J237" s="1">
        <f t="shared" si="5"/>
        <v>0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>
      <c r="A238" s="212">
        <v>7700</v>
      </c>
      <c r="B238" s="213" t="s">
        <v>635</v>
      </c>
      <c r="C238" s="246">
        <v>22679.82</v>
      </c>
      <c r="D238" s="206"/>
      <c r="E238" s="214"/>
      <c r="F238" s="246">
        <v>50865.23</v>
      </c>
      <c r="G238" s="206"/>
      <c r="H238" s="214"/>
      <c r="I238" s="1">
        <f t="shared" si="5"/>
        <v>-28185.410000000003</v>
      </c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A239" s="212">
        <v>7720</v>
      </c>
      <c r="B239" s="213" t="s">
        <v>335</v>
      </c>
      <c r="C239" s="246">
        <v>0</v>
      </c>
      <c r="D239" s="206"/>
      <c r="E239" s="214"/>
      <c r="F239" s="246">
        <v>0</v>
      </c>
      <c r="G239" s="206"/>
      <c r="H239" s="214"/>
      <c r="I239" s="1">
        <f t="shared" si="5"/>
        <v>0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A240" s="212">
        <v>7740</v>
      </c>
      <c r="B240" s="213" t="s">
        <v>636</v>
      </c>
      <c r="C240" s="246">
        <v>1.31</v>
      </c>
      <c r="D240" s="206"/>
      <c r="E240" s="214"/>
      <c r="F240" s="246">
        <v>1.82</v>
      </c>
      <c r="G240" s="206"/>
      <c r="H240" s="214"/>
      <c r="I240" s="1">
        <f t="shared" si="5"/>
        <v>-0.51</v>
      </c>
      <c r="J240" s="1">
        <f t="shared" si="5"/>
        <v>0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4.4">
      <c r="A241" s="215">
        <v>7750</v>
      </c>
      <c r="B241" s="216" t="s">
        <v>780</v>
      </c>
      <c r="C241" s="246">
        <v>0</v>
      </c>
      <c r="D241" s="206"/>
      <c r="E241" s="214"/>
      <c r="F241" s="246">
        <v>0</v>
      </c>
      <c r="G241" s="206"/>
      <c r="H241" s="214"/>
      <c r="I241" s="1">
        <f t="shared" si="5"/>
        <v>0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>
      <c r="A242" s="212">
        <v>7770</v>
      </c>
      <c r="B242" s="213" t="s">
        <v>637</v>
      </c>
      <c r="C242" s="246">
        <v>11431.18</v>
      </c>
      <c r="D242" s="206"/>
      <c r="E242" s="214"/>
      <c r="F242" s="246">
        <v>15456.47</v>
      </c>
      <c r="G242" s="206"/>
      <c r="H242" s="214"/>
      <c r="I242" s="1">
        <f t="shared" si="5"/>
        <v>-4025.2899999999991</v>
      </c>
      <c r="J242" s="1">
        <f t="shared" si="5"/>
        <v>0</v>
      </c>
      <c r="K242" s="1">
        <f t="shared" si="5"/>
        <v>0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>
      <c r="A243" s="212">
        <v>7790</v>
      </c>
      <c r="B243" s="213" t="s">
        <v>638</v>
      </c>
      <c r="C243" s="246">
        <v>3754.74</v>
      </c>
      <c r="D243" s="206"/>
      <c r="E243" s="214"/>
      <c r="F243" s="246">
        <v>6830.41</v>
      </c>
      <c r="G243" s="206"/>
      <c r="H243" s="214"/>
      <c r="I243" s="1">
        <f t="shared" si="5"/>
        <v>-3075.67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>
      <c r="A244" s="212">
        <v>7791</v>
      </c>
      <c r="B244" s="213" t="s">
        <v>839</v>
      </c>
      <c r="C244" s="246">
        <v>0</v>
      </c>
      <c r="D244" s="206"/>
      <c r="E244" s="214"/>
      <c r="F244" s="246">
        <v>4573.3900000000003</v>
      </c>
      <c r="G244" s="206"/>
      <c r="H244" s="214"/>
      <c r="I244" s="1">
        <f t="shared" si="5"/>
        <v>-4573.3900000000003</v>
      </c>
      <c r="J244" s="1">
        <f t="shared" si="5"/>
        <v>0</v>
      </c>
      <c r="K244" s="1">
        <f t="shared" si="5"/>
        <v>0</v>
      </c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A245" s="212">
        <v>7792</v>
      </c>
      <c r="B245" s="213" t="s">
        <v>343</v>
      </c>
      <c r="C245" s="246">
        <v>0</v>
      </c>
      <c r="D245" s="206"/>
      <c r="E245" s="214"/>
      <c r="F245" s="246">
        <v>0</v>
      </c>
      <c r="G245" s="206"/>
      <c r="H245" s="214"/>
      <c r="I245" s="1">
        <f t="shared" si="5"/>
        <v>0</v>
      </c>
      <c r="J245" s="1">
        <f t="shared" si="5"/>
        <v>0</v>
      </c>
      <c r="K245" s="1">
        <f t="shared" si="5"/>
        <v>0</v>
      </c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>
      <c r="A246" s="212">
        <v>7809</v>
      </c>
      <c r="B246" s="213" t="s">
        <v>969</v>
      </c>
      <c r="C246" s="246">
        <v>0</v>
      </c>
      <c r="D246" s="206"/>
      <c r="E246" s="214"/>
      <c r="F246" s="246">
        <v>0</v>
      </c>
      <c r="G246" s="206"/>
      <c r="H246" s="214"/>
      <c r="I246" s="1">
        <f t="shared" si="5"/>
        <v>0</v>
      </c>
      <c r="J246" s="1">
        <f t="shared" si="5"/>
        <v>0</v>
      </c>
      <c r="K246" s="1">
        <f t="shared" si="5"/>
        <v>0</v>
      </c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A247" s="212">
        <v>7830</v>
      </c>
      <c r="B247" s="213" t="s">
        <v>639</v>
      </c>
      <c r="C247" s="246">
        <v>0</v>
      </c>
      <c r="D247" s="206"/>
      <c r="E247" s="214"/>
      <c r="F247" s="246">
        <v>0</v>
      </c>
      <c r="G247" s="206"/>
      <c r="H247" s="214"/>
      <c r="I247" s="1">
        <f t="shared" si="5"/>
        <v>0</v>
      </c>
      <c r="J247" s="1">
        <f t="shared" si="5"/>
        <v>0</v>
      </c>
      <c r="K247" s="1">
        <f t="shared" si="5"/>
        <v>0</v>
      </c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>
      <c r="A248" s="212">
        <v>7831</v>
      </c>
      <c r="B248" s="218" t="s">
        <v>713</v>
      </c>
      <c r="C248" s="246">
        <v>0</v>
      </c>
      <c r="D248" s="206"/>
      <c r="E248" s="214"/>
      <c r="F248" s="246">
        <v>-27950</v>
      </c>
      <c r="G248" s="206"/>
      <c r="H248" s="214"/>
      <c r="I248" s="1">
        <f t="shared" si="5"/>
        <v>27950</v>
      </c>
      <c r="J248" s="1">
        <f t="shared" si="5"/>
        <v>0</v>
      </c>
      <c r="K248" s="1">
        <f t="shared" si="5"/>
        <v>0</v>
      </c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>
      <c r="A249" s="223" t="s">
        <v>374</v>
      </c>
      <c r="B249" s="213" t="s">
        <v>655</v>
      </c>
      <c r="C249" s="246">
        <f>SUM(C191:C248)</f>
        <v>1563830.0300000005</v>
      </c>
      <c r="D249" s="230">
        <f>C249</f>
        <v>1563830.0300000005</v>
      </c>
      <c r="E249" s="214"/>
      <c r="F249" s="246">
        <f>SUM(F191:F248)</f>
        <v>1485365.9200000002</v>
      </c>
      <c r="G249" s="230">
        <f>F249</f>
        <v>1485365.9200000002</v>
      </c>
      <c r="H249" s="214"/>
      <c r="I249" s="1">
        <f t="shared" si="5"/>
        <v>78464.110000000335</v>
      </c>
      <c r="J249" s="1">
        <f t="shared" si="5"/>
        <v>78464.110000000335</v>
      </c>
      <c r="K249" s="1">
        <f t="shared" si="5"/>
        <v>0</v>
      </c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>
      <c r="A250" s="212"/>
      <c r="B250" s="213"/>
      <c r="C250" s="241" t="s">
        <v>374</v>
      </c>
      <c r="D250" s="206"/>
      <c r="E250" s="214"/>
      <c r="F250" s="241"/>
      <c r="G250" s="206"/>
      <c r="H250" s="214"/>
      <c r="I250" s="1"/>
      <c r="J250" s="1">
        <f t="shared" si="5"/>
        <v>0</v>
      </c>
      <c r="K250" s="1">
        <f t="shared" si="5"/>
        <v>0</v>
      </c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>
      <c r="A251" s="212">
        <v>8050</v>
      </c>
      <c r="B251" s="213" t="s">
        <v>640</v>
      </c>
      <c r="C251" s="250">
        <v>-798.21</v>
      </c>
      <c r="D251" s="206"/>
      <c r="E251" s="214"/>
      <c r="F251" s="250">
        <v>-2792.89</v>
      </c>
      <c r="G251" s="206"/>
      <c r="H251" s="214"/>
      <c r="I251" s="1">
        <f t="shared" si="5"/>
        <v>1994.6799999999998</v>
      </c>
      <c r="J251" s="1">
        <f t="shared" si="5"/>
        <v>0</v>
      </c>
      <c r="K251" s="1">
        <f t="shared" si="5"/>
        <v>0</v>
      </c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4.4">
      <c r="A252" s="215">
        <v>8060</v>
      </c>
      <c r="B252" s="216" t="s">
        <v>781</v>
      </c>
      <c r="C252" s="250">
        <v>-65.02</v>
      </c>
      <c r="D252" s="234">
        <f>SUM(C251:C254)</f>
        <v>-12133.23</v>
      </c>
      <c r="E252" s="214"/>
      <c r="F252" s="250">
        <v>-929.22</v>
      </c>
      <c r="G252" s="234">
        <f>SUM(F251:F254)</f>
        <v>-13762.11</v>
      </c>
      <c r="H252" s="214"/>
      <c r="I252" s="1">
        <f t="shared" si="5"/>
        <v>864.2</v>
      </c>
      <c r="J252" s="1">
        <f t="shared" si="5"/>
        <v>1628.880000000001</v>
      </c>
      <c r="K252" s="1">
        <f t="shared" si="5"/>
        <v>0</v>
      </c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 ht="14.4">
      <c r="A253" s="215">
        <v>8071</v>
      </c>
      <c r="B253" s="216" t="s">
        <v>389</v>
      </c>
      <c r="C253" s="250">
        <v>-11270</v>
      </c>
      <c r="D253" s="234"/>
      <c r="E253" s="214"/>
      <c r="F253" s="250">
        <v>-10040</v>
      </c>
      <c r="G253" s="234"/>
      <c r="H253" s="214"/>
      <c r="I253" s="1">
        <f t="shared" si="5"/>
        <v>-1230</v>
      </c>
      <c r="J253" s="1">
        <f t="shared" si="5"/>
        <v>0</v>
      </c>
      <c r="K253" s="1">
        <f t="shared" si="5"/>
        <v>0</v>
      </c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4.4">
      <c r="A254" s="215">
        <v>8078</v>
      </c>
      <c r="B254" s="216" t="s">
        <v>870</v>
      </c>
      <c r="C254" s="250">
        <v>0</v>
      </c>
      <c r="D254" s="234"/>
      <c r="E254" s="214"/>
      <c r="F254" s="250">
        <v>0</v>
      </c>
      <c r="G254" s="234"/>
      <c r="H254" s="214"/>
      <c r="I254" s="1">
        <f t="shared" si="5"/>
        <v>0</v>
      </c>
      <c r="J254" s="1">
        <f t="shared" si="5"/>
        <v>0</v>
      </c>
      <c r="K254" s="1">
        <f t="shared" si="5"/>
        <v>0</v>
      </c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 ht="14.4">
      <c r="A255" s="215">
        <v>8150</v>
      </c>
      <c r="B255" s="216" t="s">
        <v>782</v>
      </c>
      <c r="C255" s="254">
        <v>124.78</v>
      </c>
      <c r="D255" s="206"/>
      <c r="E255" s="214"/>
      <c r="F255" s="254">
        <v>0</v>
      </c>
      <c r="G255" s="232"/>
      <c r="H255" s="214"/>
      <c r="I255" s="1">
        <f t="shared" si="5"/>
        <v>124.78</v>
      </c>
      <c r="J255" s="1">
        <f t="shared" si="5"/>
        <v>0</v>
      </c>
      <c r="K255" s="1">
        <f t="shared" si="5"/>
        <v>0</v>
      </c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 ht="14.4">
      <c r="A256" s="215">
        <v>8153</v>
      </c>
      <c r="B256" s="213" t="s">
        <v>641</v>
      </c>
      <c r="C256" s="254">
        <v>847.45</v>
      </c>
      <c r="D256" s="206"/>
      <c r="E256" s="214"/>
      <c r="F256" s="254">
        <v>288.2</v>
      </c>
      <c r="G256" s="232"/>
      <c r="H256" s="214"/>
      <c r="I256" s="1">
        <f t="shared" si="5"/>
        <v>559.25</v>
      </c>
      <c r="J256" s="1">
        <f t="shared" si="5"/>
        <v>0</v>
      </c>
      <c r="K256" s="1">
        <f t="shared" si="5"/>
        <v>0</v>
      </c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1:28">
      <c r="A257" s="212">
        <v>8160</v>
      </c>
      <c r="B257" s="213" t="s">
        <v>871</v>
      </c>
      <c r="C257" s="254">
        <v>13.95</v>
      </c>
      <c r="D257" s="237">
        <f>SUM(C255:C257)</f>
        <v>986.18000000000006</v>
      </c>
      <c r="E257" s="214">
        <f>SUM(D159:D257)</f>
        <v>5960754.8699999992</v>
      </c>
      <c r="F257" s="254">
        <v>684.77</v>
      </c>
      <c r="G257" s="237">
        <f>SUM(F255:F257)</f>
        <v>972.97</v>
      </c>
      <c r="H257" s="214">
        <f>SUM(G159:G257)</f>
        <v>5196264.79</v>
      </c>
      <c r="I257" s="1">
        <f t="shared" si="5"/>
        <v>-670.81999999999994</v>
      </c>
      <c r="J257" s="1">
        <f t="shared" si="5"/>
        <v>13.210000000000036</v>
      </c>
      <c r="K257" s="1">
        <f t="shared" si="5"/>
        <v>764490.07999999914</v>
      </c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1:28" ht="13.8" thickBot="1">
      <c r="A258" s="222" t="s">
        <v>374</v>
      </c>
      <c r="B258" s="219" t="s">
        <v>642</v>
      </c>
      <c r="C258" s="255">
        <f>SUM(C250:C257)</f>
        <v>-11147.049999999997</v>
      </c>
      <c r="D258" s="220"/>
      <c r="E258" s="221"/>
      <c r="F258" s="255">
        <f>SUM(F251:F257)</f>
        <v>-12789.14</v>
      </c>
      <c r="G258" s="220"/>
      <c r="H258" s="221"/>
      <c r="I258" s="1">
        <f t="shared" si="5"/>
        <v>1642.090000000002</v>
      </c>
      <c r="J258" s="1">
        <f t="shared" si="5"/>
        <v>0</v>
      </c>
      <c r="K258" s="1">
        <f t="shared" si="5"/>
        <v>0</v>
      </c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1:28">
      <c r="C259" s="23" t="s">
        <v>374</v>
      </c>
      <c r="D259" s="23" t="s">
        <v>790</v>
      </c>
      <c r="E259" s="23"/>
      <c r="F259" s="23"/>
      <c r="G259" s="23"/>
      <c r="H259" s="23"/>
      <c r="K259" s="1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</row>
    <row r="260" spans="1:28">
      <c r="C260" s="23" t="s">
        <v>374</v>
      </c>
      <c r="D260" s="23"/>
      <c r="E260" s="23"/>
      <c r="F260" s="23"/>
      <c r="G260" s="23"/>
      <c r="H260" s="23"/>
      <c r="K260" s="1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</row>
    <row r="261" spans="1:28">
      <c r="D261" s="23"/>
      <c r="E261" s="23"/>
      <c r="F261" s="23"/>
      <c r="G261" s="23"/>
      <c r="H261" s="23"/>
      <c r="K261" s="1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</row>
    <row r="262" spans="1:28">
      <c r="D262" s="23"/>
      <c r="E262" s="23"/>
      <c r="F262" s="23"/>
      <c r="G262" s="23"/>
      <c r="H262" s="23"/>
      <c r="K262" s="1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</row>
    <row r="263" spans="1:28">
      <c r="C263" s="23" t="s">
        <v>374</v>
      </c>
      <c r="F263" s="23"/>
      <c r="G263" s="23"/>
      <c r="H263" s="23"/>
      <c r="K263" s="1"/>
    </row>
    <row r="264" spans="1:28">
      <c r="F264" s="23"/>
      <c r="G264" s="23"/>
      <c r="H264" s="23"/>
      <c r="K264" s="1"/>
    </row>
    <row r="265" spans="1:28">
      <c r="F265" s="23"/>
      <c r="G265" s="23"/>
      <c r="H265" s="23"/>
      <c r="K265" s="1"/>
    </row>
    <row r="266" spans="1:28">
      <c r="F266" s="23"/>
      <c r="G266" s="23"/>
      <c r="H266" s="23"/>
      <c r="K266" s="1"/>
    </row>
    <row r="267" spans="1:28">
      <c r="F267" s="23"/>
      <c r="G267" s="23"/>
      <c r="H267" s="23"/>
      <c r="K267" s="1"/>
    </row>
    <row r="268" spans="1:28">
      <c r="F268" s="23"/>
      <c r="G268" s="23"/>
      <c r="H268" s="23"/>
      <c r="K268" s="1"/>
    </row>
    <row r="269" spans="1:28">
      <c r="F269" s="23"/>
      <c r="G269" s="23"/>
      <c r="H269" s="23"/>
      <c r="K269" s="1"/>
    </row>
    <row r="270" spans="1:28">
      <c r="F270" s="23"/>
      <c r="G270" s="23"/>
      <c r="H270" s="23"/>
      <c r="K270" s="1"/>
    </row>
    <row r="271" spans="1:28">
      <c r="F271" s="23"/>
      <c r="G271" s="23"/>
      <c r="H271" s="23"/>
      <c r="K271" s="1"/>
    </row>
    <row r="272" spans="1:28">
      <c r="F272" s="23"/>
      <c r="G272" s="23"/>
      <c r="H272" s="23"/>
      <c r="K272" s="1"/>
    </row>
    <row r="273" spans="6:11">
      <c r="F273" s="23"/>
      <c r="G273" s="23"/>
      <c r="H273" s="23"/>
      <c r="K273" s="1"/>
    </row>
    <row r="274" spans="6:11">
      <c r="F274" s="23"/>
      <c r="G274" s="23"/>
      <c r="H274" s="23"/>
      <c r="K274" s="1"/>
    </row>
    <row r="275" spans="6:11">
      <c r="F275" s="23"/>
      <c r="G275" s="23"/>
      <c r="H275" s="23"/>
      <c r="K275" s="1"/>
    </row>
    <row r="276" spans="6:11">
      <c r="F276" s="23"/>
      <c r="G276" s="23"/>
      <c r="H276" s="23"/>
      <c r="K276" s="1"/>
    </row>
    <row r="277" spans="6:11">
      <c r="F277" s="23"/>
      <c r="G277" s="23"/>
      <c r="H277" s="23"/>
      <c r="K277" s="1"/>
    </row>
    <row r="278" spans="6:11">
      <c r="F278" s="23"/>
      <c r="G278" s="23"/>
      <c r="H278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8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C125" sqref="C125"/>
    </sheetView>
  </sheetViews>
  <sheetFormatPr baseColWidth="10" defaultColWidth="11.5546875" defaultRowHeight="13.2"/>
  <cols>
    <col min="2" max="2" width="56.33203125" bestFit="1" customWidth="1"/>
    <col min="3" max="3" width="12.33203125" style="23" bestFit="1" customWidth="1"/>
    <col min="4" max="5" width="12.33203125" bestFit="1" customWidth="1"/>
    <col min="6" max="6" width="15.5546875" style="131" bestFit="1" customWidth="1"/>
    <col min="7" max="7" width="13.44140625" style="131" bestFit="1" customWidth="1"/>
    <col min="8" max="9" width="12.33203125" bestFit="1" customWidth="1"/>
  </cols>
  <sheetData>
    <row r="1" spans="1:28" ht="21" customHeight="1">
      <c r="A1" s="208" t="s">
        <v>827</v>
      </c>
      <c r="B1" s="209"/>
      <c r="C1" s="369" t="s">
        <v>863</v>
      </c>
      <c r="D1" s="370"/>
      <c r="E1" s="371"/>
      <c r="F1" s="372" t="s">
        <v>826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J67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ref="K4:K68" si="1">E4-H4</f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>
        <f t="shared" si="0"/>
        <v>0</v>
      </c>
      <c r="J5" s="1">
        <f t="shared" si="0"/>
        <v>0</v>
      </c>
      <c r="K5" s="1">
        <f t="shared" si="1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0</v>
      </c>
      <c r="K6" s="1">
        <f t="shared" si="1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>
        <f t="shared" si="0"/>
        <v>0</v>
      </c>
      <c r="J7" s="1">
        <f t="shared" si="0"/>
        <v>0</v>
      </c>
      <c r="K7" s="1">
        <f t="shared" si="1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9085</v>
      </c>
      <c r="D8" s="206"/>
      <c r="E8" s="214"/>
      <c r="F8" s="242">
        <v>14173</v>
      </c>
      <c r="G8" s="206"/>
      <c r="H8" s="214"/>
      <c r="I8" s="1">
        <f t="shared" si="0"/>
        <v>-5088</v>
      </c>
      <c r="J8" s="1">
        <f t="shared" si="0"/>
        <v>0</v>
      </c>
      <c r="K8" s="1">
        <f t="shared" si="1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43314</v>
      </c>
      <c r="D9" s="206"/>
      <c r="E9" s="214"/>
      <c r="F9" s="242">
        <v>68069</v>
      </c>
      <c r="G9" s="206"/>
      <c r="H9" s="214"/>
      <c r="I9" s="1">
        <f t="shared" si="0"/>
        <v>-24755</v>
      </c>
      <c r="J9" s="1">
        <f t="shared" si="0"/>
        <v>0</v>
      </c>
      <c r="K9" s="1">
        <f t="shared" si="1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27500</v>
      </c>
      <c r="D10" s="232"/>
      <c r="E10" s="214">
        <f>SUM(D3:D10)</f>
        <v>1332790</v>
      </c>
      <c r="F10" s="242">
        <v>42500</v>
      </c>
      <c r="G10" s="232"/>
      <c r="H10" s="214">
        <f>SUM(G3:G10)</f>
        <v>1332790</v>
      </c>
      <c r="I10" s="1">
        <f t="shared" si="0"/>
        <v>-15000</v>
      </c>
      <c r="J10" s="1">
        <f t="shared" si="0"/>
        <v>0</v>
      </c>
      <c r="K10" s="1">
        <f t="shared" si="1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1254</v>
      </c>
      <c r="B11" s="213" t="s">
        <v>864</v>
      </c>
      <c r="C11" s="242">
        <v>42985.73</v>
      </c>
      <c r="D11" s="232"/>
      <c r="E11" s="214"/>
      <c r="F11" s="242">
        <v>0</v>
      </c>
      <c r="G11" s="232"/>
      <c r="H11" s="214"/>
      <c r="I11" s="1">
        <f t="shared" si="0"/>
        <v>42985.73</v>
      </c>
      <c r="J11" s="1"/>
      <c r="K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1280</v>
      </c>
      <c r="B12" s="213" t="s">
        <v>828</v>
      </c>
      <c r="C12" s="242">
        <v>34506</v>
      </c>
      <c r="D12" s="225">
        <f>SUM(C7:C12)</f>
        <v>157390.73000000001</v>
      </c>
      <c r="E12" s="214"/>
      <c r="F12" s="242">
        <v>55209</v>
      </c>
      <c r="G12" s="225">
        <f>SUM(F7:F12)</f>
        <v>179951</v>
      </c>
      <c r="H12" s="214"/>
      <c r="I12" s="1">
        <f t="shared" si="0"/>
        <v>-20703</v>
      </c>
      <c r="J12" s="1">
        <f t="shared" si="0"/>
        <v>-22560.26999999999</v>
      </c>
      <c r="K12" s="1">
        <f t="shared" si="1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1465</v>
      </c>
      <c r="B13" s="213" t="s">
        <v>18</v>
      </c>
      <c r="C13" s="241">
        <v>106961.13</v>
      </c>
      <c r="D13" s="206">
        <f>C13</f>
        <v>106961.13</v>
      </c>
      <c r="E13" s="214"/>
      <c r="F13" s="241">
        <v>72707.63</v>
      </c>
      <c r="G13" s="206">
        <f>F13</f>
        <v>72707.63</v>
      </c>
      <c r="H13" s="214"/>
      <c r="I13" s="1">
        <f t="shared" si="0"/>
        <v>34253.5</v>
      </c>
      <c r="J13" s="1">
        <f t="shared" si="0"/>
        <v>34253.5</v>
      </c>
      <c r="K13" s="1">
        <f t="shared" si="1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ht="14.4">
      <c r="A14" s="215">
        <v>1480</v>
      </c>
      <c r="B14" s="216" t="s">
        <v>762</v>
      </c>
      <c r="C14" s="243">
        <v>0</v>
      </c>
      <c r="D14" s="206"/>
      <c r="E14" s="214"/>
      <c r="F14" s="241">
        <v>0</v>
      </c>
      <c r="G14" s="206"/>
      <c r="H14" s="214"/>
      <c r="I14" s="1">
        <f t="shared" si="0"/>
        <v>0</v>
      </c>
      <c r="J14" s="1">
        <f t="shared" si="0"/>
        <v>0</v>
      </c>
      <c r="K14" s="1">
        <f t="shared" si="1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1500</v>
      </c>
      <c r="B15" s="213" t="s">
        <v>552</v>
      </c>
      <c r="C15" s="243">
        <v>92724.7</v>
      </c>
      <c r="D15" s="206"/>
      <c r="E15" s="214"/>
      <c r="F15" s="243">
        <v>185484.5</v>
      </c>
      <c r="G15" s="226"/>
      <c r="H15" s="214"/>
      <c r="I15" s="1">
        <f t="shared" si="0"/>
        <v>-92759.8</v>
      </c>
      <c r="J15" s="1">
        <f t="shared" si="0"/>
        <v>0</v>
      </c>
      <c r="K15" s="1">
        <f t="shared" si="1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1580</v>
      </c>
      <c r="B16" s="213" t="s">
        <v>553</v>
      </c>
      <c r="C16" s="243">
        <v>-51945</v>
      </c>
      <c r="D16" s="227">
        <f>SUM(C14:C16)</f>
        <v>40779.699999999997</v>
      </c>
      <c r="E16" s="214"/>
      <c r="F16" s="243">
        <v>-74384.5</v>
      </c>
      <c r="G16" s="227">
        <f>SUM(F14:F16)</f>
        <v>111100</v>
      </c>
      <c r="H16" s="214"/>
      <c r="I16" s="1">
        <f t="shared" si="0"/>
        <v>22439.5</v>
      </c>
      <c r="J16" s="1">
        <f t="shared" si="0"/>
        <v>-70320.3</v>
      </c>
      <c r="K16" s="1">
        <f t="shared" si="1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1530</v>
      </c>
      <c r="B17" s="213" t="s">
        <v>554</v>
      </c>
      <c r="C17" s="244">
        <v>138951</v>
      </c>
      <c r="D17" s="206"/>
      <c r="E17" s="214"/>
      <c r="F17" s="244">
        <v>42430</v>
      </c>
      <c r="G17" s="206"/>
      <c r="H17" s="214"/>
      <c r="I17" s="1">
        <f t="shared" si="0"/>
        <v>96521</v>
      </c>
      <c r="J17" s="1">
        <f t="shared" si="0"/>
        <v>0</v>
      </c>
      <c r="K17" s="1">
        <f t="shared" si="1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1571</v>
      </c>
      <c r="B18" s="213" t="s">
        <v>691</v>
      </c>
      <c r="C18" s="244">
        <v>0</v>
      </c>
      <c r="D18" s="206"/>
      <c r="E18" s="214"/>
      <c r="F18" s="244">
        <v>3480.5</v>
      </c>
      <c r="G18" s="206"/>
      <c r="H18" s="214"/>
      <c r="I18" s="1">
        <f t="shared" si="0"/>
        <v>-3480.5</v>
      </c>
      <c r="J18" s="1">
        <f t="shared" si="0"/>
        <v>0</v>
      </c>
      <c r="K18" s="1">
        <f t="shared" si="1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1572</v>
      </c>
      <c r="B19" s="213" t="s">
        <v>829</v>
      </c>
      <c r="C19" s="244">
        <v>0</v>
      </c>
      <c r="D19" s="206"/>
      <c r="E19" s="214"/>
      <c r="F19" s="244">
        <v>14000</v>
      </c>
      <c r="G19" s="206"/>
      <c r="H19" s="214"/>
      <c r="I19" s="1">
        <f t="shared" si="0"/>
        <v>-14000</v>
      </c>
      <c r="J19" s="1">
        <f t="shared" si="0"/>
        <v>0</v>
      </c>
      <c r="K19" s="1">
        <f t="shared" si="1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1700</v>
      </c>
      <c r="B20" s="213" t="s">
        <v>32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1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1720</v>
      </c>
      <c r="B21" s="213" t="s">
        <v>692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1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1749</v>
      </c>
      <c r="B22" s="213" t="s">
        <v>556</v>
      </c>
      <c r="C22" s="244">
        <v>87939</v>
      </c>
      <c r="D22" s="228">
        <f>SUM(C17:C22)</f>
        <v>226890</v>
      </c>
      <c r="E22" s="214"/>
      <c r="F22" s="244">
        <v>81921</v>
      </c>
      <c r="G22" s="228">
        <f>SUM(F17:F22)</f>
        <v>141831.5</v>
      </c>
      <c r="H22" s="214"/>
      <c r="I22" s="1">
        <f t="shared" si="0"/>
        <v>6018</v>
      </c>
      <c r="J22" s="1">
        <f t="shared" si="0"/>
        <v>85058.5</v>
      </c>
      <c r="K22" s="1">
        <f t="shared" si="1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1910</v>
      </c>
      <c r="B23" s="213" t="s">
        <v>36</v>
      </c>
      <c r="C23" s="241">
        <v>10368</v>
      </c>
      <c r="D23" s="206"/>
      <c r="E23" s="214"/>
      <c r="F23" s="241">
        <v>11992</v>
      </c>
      <c r="G23" s="206"/>
      <c r="H23" s="214"/>
      <c r="I23" s="1">
        <f t="shared" si="0"/>
        <v>-1624</v>
      </c>
      <c r="J23" s="1">
        <f t="shared" si="0"/>
        <v>0</v>
      </c>
      <c r="K23" s="1">
        <f t="shared" si="1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1920</v>
      </c>
      <c r="B24" s="213" t="s">
        <v>557</v>
      </c>
      <c r="C24" s="241">
        <v>2468683.7999999998</v>
      </c>
      <c r="D24" s="206"/>
      <c r="E24" s="214"/>
      <c r="F24" s="241">
        <v>1291689</v>
      </c>
      <c r="G24" s="206"/>
      <c r="H24" s="214"/>
      <c r="I24" s="1">
        <f t="shared" si="0"/>
        <v>1176994.7999999998</v>
      </c>
      <c r="J24" s="1">
        <f t="shared" si="0"/>
        <v>0</v>
      </c>
      <c r="K24" s="1">
        <f t="shared" si="1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1921</v>
      </c>
      <c r="B25" s="213" t="s">
        <v>693</v>
      </c>
      <c r="C25" s="241">
        <v>4045.88</v>
      </c>
      <c r="D25" s="206"/>
      <c r="E25" s="214"/>
      <c r="F25" s="241">
        <v>4043.86</v>
      </c>
      <c r="G25" s="206"/>
      <c r="H25" s="214"/>
      <c r="I25" s="1">
        <f t="shared" si="0"/>
        <v>2.0199999999999818</v>
      </c>
      <c r="J25" s="1">
        <f t="shared" si="0"/>
        <v>0</v>
      </c>
      <c r="K25" s="1">
        <f t="shared" si="1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1523</v>
      </c>
      <c r="B26" s="213" t="s">
        <v>830</v>
      </c>
      <c r="C26" s="241">
        <v>498401.11</v>
      </c>
      <c r="D26" s="206"/>
      <c r="E26" s="214"/>
      <c r="F26" s="241">
        <v>496320.64</v>
      </c>
      <c r="G26" s="206"/>
      <c r="H26" s="214"/>
      <c r="I26" s="1">
        <f t="shared" si="0"/>
        <v>2080.4699999999721</v>
      </c>
      <c r="J26" s="1">
        <f t="shared" si="0"/>
        <v>0</v>
      </c>
      <c r="K26" s="1">
        <f t="shared" si="1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 ht="14.4">
      <c r="A27" s="215">
        <v>1922</v>
      </c>
      <c r="B27" s="216" t="s">
        <v>763</v>
      </c>
      <c r="C27" s="241">
        <v>4508.07</v>
      </c>
      <c r="D27" s="206"/>
      <c r="E27" s="214"/>
      <c r="F27" s="241">
        <v>4505.82</v>
      </c>
      <c r="G27" s="206"/>
      <c r="H27" s="214"/>
      <c r="I27" s="1">
        <f t="shared" si="0"/>
        <v>2.25</v>
      </c>
      <c r="J27" s="1">
        <f t="shared" si="0"/>
        <v>0</v>
      </c>
      <c r="K27" s="1">
        <f t="shared" si="1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1930</v>
      </c>
      <c r="B28" s="213" t="s">
        <v>558</v>
      </c>
      <c r="C28" s="241">
        <v>0</v>
      </c>
      <c r="D28" s="206"/>
      <c r="E28" s="214"/>
      <c r="F28" s="241">
        <v>0</v>
      </c>
      <c r="G28" s="206"/>
      <c r="H28" s="214"/>
      <c r="I28" s="1">
        <f t="shared" si="0"/>
        <v>0</v>
      </c>
      <c r="J28" s="1">
        <f t="shared" si="0"/>
        <v>0</v>
      </c>
      <c r="K28" s="1">
        <f t="shared" si="1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1931</v>
      </c>
      <c r="B29" s="213" t="s">
        <v>559</v>
      </c>
      <c r="C29" s="241">
        <v>0</v>
      </c>
      <c r="D29" s="206"/>
      <c r="E29" s="214"/>
      <c r="F29" s="241">
        <v>0</v>
      </c>
      <c r="G29" s="206"/>
      <c r="H29" s="214"/>
      <c r="I29" s="1">
        <f t="shared" si="0"/>
        <v>0</v>
      </c>
      <c r="J29" s="1">
        <f t="shared" si="0"/>
        <v>0</v>
      </c>
      <c r="K29" s="1">
        <f t="shared" si="1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1932</v>
      </c>
      <c r="B30" s="213" t="s">
        <v>831</v>
      </c>
      <c r="C30" s="241">
        <v>217882.39</v>
      </c>
      <c r="D30" s="206"/>
      <c r="E30" s="214"/>
      <c r="F30" s="241">
        <v>217773.5</v>
      </c>
      <c r="G30" s="206"/>
      <c r="H30" s="214"/>
      <c r="I30" s="1">
        <f t="shared" si="0"/>
        <v>108.89000000001397</v>
      </c>
      <c r="J30" s="1">
        <f t="shared" si="0"/>
        <v>0</v>
      </c>
      <c r="K30" s="1">
        <f t="shared" si="1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1936</v>
      </c>
      <c r="B31" s="213" t="s">
        <v>560</v>
      </c>
      <c r="C31" s="241">
        <v>57.74</v>
      </c>
      <c r="D31" s="206"/>
      <c r="E31" s="214"/>
      <c r="F31" s="241">
        <v>57.6</v>
      </c>
      <c r="G31" s="206"/>
      <c r="H31" s="214"/>
      <c r="I31" s="1">
        <f t="shared" si="0"/>
        <v>0.14000000000000057</v>
      </c>
      <c r="J31" s="1">
        <f t="shared" si="0"/>
        <v>0</v>
      </c>
      <c r="K31" s="1">
        <f t="shared" si="1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1938</v>
      </c>
      <c r="B32" s="213" t="s">
        <v>44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1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1940</v>
      </c>
      <c r="B33" s="213" t="s">
        <v>561</v>
      </c>
      <c r="C33" s="241">
        <v>0</v>
      </c>
      <c r="D33" s="206"/>
      <c r="E33" s="214"/>
      <c r="F33" s="241">
        <v>0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1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1945</v>
      </c>
      <c r="B34" s="213" t="s">
        <v>48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1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1946</v>
      </c>
      <c r="B35" s="213" t="s">
        <v>50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1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1950</v>
      </c>
      <c r="B36" s="213" t="s">
        <v>562</v>
      </c>
      <c r="C36" s="241">
        <v>21419.18</v>
      </c>
      <c r="D36" s="206"/>
      <c r="E36" s="214"/>
      <c r="F36" s="241">
        <v>22029.18</v>
      </c>
      <c r="G36" s="206"/>
      <c r="H36" s="214"/>
      <c r="I36" s="1">
        <f t="shared" si="0"/>
        <v>-610</v>
      </c>
      <c r="J36" s="1">
        <f t="shared" si="0"/>
        <v>0</v>
      </c>
      <c r="K36" s="1">
        <f t="shared" si="1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1952</v>
      </c>
      <c r="B37" s="213" t="s">
        <v>563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1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1962</v>
      </c>
      <c r="B38" s="213" t="s">
        <v>564</v>
      </c>
      <c r="C38" s="260">
        <v>0</v>
      </c>
      <c r="D38" s="207">
        <f>SUM(C23:C38)</f>
        <v>3225366.17</v>
      </c>
      <c r="E38" s="259">
        <f>SUM(D13:D38)</f>
        <v>3599997</v>
      </c>
      <c r="F38" s="260">
        <v>0</v>
      </c>
      <c r="G38" s="207">
        <f>SUM(F23:F38)</f>
        <v>2048411.6</v>
      </c>
      <c r="H38" s="259">
        <f>SUM(G13:G38)</f>
        <v>2374050.73</v>
      </c>
      <c r="I38" s="1">
        <f t="shared" si="0"/>
        <v>0</v>
      </c>
      <c r="J38" s="1">
        <f t="shared" si="0"/>
        <v>1176954.5699999998</v>
      </c>
      <c r="K38" s="1">
        <f t="shared" si="1"/>
        <v>1225946.27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8" t="s">
        <v>819</v>
      </c>
      <c r="C39" s="241">
        <f>SUM(C3:C38)</f>
        <v>5090177.7299999995</v>
      </c>
      <c r="D39" s="206"/>
      <c r="E39" s="214">
        <f>SUM(E10:E38)</f>
        <v>4932787</v>
      </c>
      <c r="F39" s="241">
        <f>SUM(F3:F38)</f>
        <v>3886791.73</v>
      </c>
      <c r="G39" s="206"/>
      <c r="H39" s="214">
        <f>SUM(H38,H10)</f>
        <v>3706840.73</v>
      </c>
      <c r="I39" s="1">
        <f t="shared" si="0"/>
        <v>1203385.9999999995</v>
      </c>
      <c r="J39" s="1">
        <f t="shared" si="0"/>
        <v>0</v>
      </c>
      <c r="K39" s="1">
        <f t="shared" si="1"/>
        <v>1225946.27</v>
      </c>
      <c r="L39" s="27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/>
      <c r="B40" s="213"/>
      <c r="C40" s="241" t="s">
        <v>374</v>
      </c>
      <c r="D40" s="206"/>
      <c r="E40" s="214"/>
      <c r="F40" s="241"/>
      <c r="G40" s="206"/>
      <c r="H40" s="214"/>
      <c r="I40" s="1"/>
      <c r="K40" s="1">
        <f t="shared" si="1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2001</v>
      </c>
      <c r="B41" s="213" t="s">
        <v>566</v>
      </c>
      <c r="C41" s="291">
        <v>-21190.25</v>
      </c>
      <c r="D41" s="206"/>
      <c r="E41" s="214"/>
      <c r="F41" s="241">
        <v>-22875.1</v>
      </c>
      <c r="G41" s="206"/>
      <c r="H41" s="214"/>
      <c r="I41" s="1">
        <f t="shared" si="0"/>
        <v>1684.8499999999985</v>
      </c>
      <c r="J41" s="1">
        <f t="shared" si="0"/>
        <v>0</v>
      </c>
      <c r="K41" s="1">
        <f t="shared" si="1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2002</v>
      </c>
      <c r="B42" s="213" t="s">
        <v>58</v>
      </c>
      <c r="C42" s="291">
        <v>6977.74</v>
      </c>
      <c r="D42" s="206"/>
      <c r="E42" s="214"/>
      <c r="F42" s="241">
        <v>18545.86</v>
      </c>
      <c r="G42" s="206"/>
      <c r="H42" s="214"/>
      <c r="I42" s="1">
        <f t="shared" si="0"/>
        <v>-11568.12</v>
      </c>
      <c r="J42" s="1">
        <f t="shared" si="0"/>
        <v>0</v>
      </c>
      <c r="K42" s="1">
        <f t="shared" si="1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2003</v>
      </c>
      <c r="B43" s="213" t="s">
        <v>60</v>
      </c>
      <c r="C43" s="291">
        <v>6337.43</v>
      </c>
      <c r="D43" s="206"/>
      <c r="E43" s="214"/>
      <c r="F43" s="241">
        <v>-64249.71</v>
      </c>
      <c r="G43" s="206"/>
      <c r="H43" s="214"/>
      <c r="I43" s="1">
        <f t="shared" si="0"/>
        <v>70587.14</v>
      </c>
      <c r="J43" s="1">
        <f t="shared" si="0"/>
        <v>0</v>
      </c>
      <c r="K43" s="1">
        <f t="shared" si="1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2004</v>
      </c>
      <c r="B44" s="213" t="s">
        <v>62</v>
      </c>
      <c r="C44" s="291">
        <v>-35488.089999999997</v>
      </c>
      <c r="D44" s="206"/>
      <c r="E44" s="214"/>
      <c r="F44" s="241">
        <v>-58899.99</v>
      </c>
      <c r="G44" s="206"/>
      <c r="H44" s="214"/>
      <c r="I44" s="1">
        <f t="shared" si="0"/>
        <v>23411.9</v>
      </c>
      <c r="J44" s="1">
        <f t="shared" si="0"/>
        <v>0</v>
      </c>
      <c r="K44" s="1">
        <f t="shared" si="1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2005</v>
      </c>
      <c r="B45" s="213" t="s">
        <v>64</v>
      </c>
      <c r="C45" s="291">
        <v>15771.21</v>
      </c>
      <c r="D45" s="206"/>
      <c r="E45" s="214"/>
      <c r="F45" s="241">
        <v>13449.71</v>
      </c>
      <c r="G45" s="206"/>
      <c r="H45" s="214"/>
      <c r="I45" s="1">
        <f t="shared" si="0"/>
        <v>2321.5</v>
      </c>
      <c r="J45" s="1">
        <f t="shared" si="0"/>
        <v>0</v>
      </c>
      <c r="K45" s="1">
        <f t="shared" si="1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2006</v>
      </c>
      <c r="B46" s="213" t="s">
        <v>66</v>
      </c>
      <c r="C46" s="291">
        <v>-72988.62</v>
      </c>
      <c r="D46" s="206"/>
      <c r="E46" s="214"/>
      <c r="F46" s="241">
        <v>-35713.620000000003</v>
      </c>
      <c r="G46" s="206"/>
      <c r="H46" s="214"/>
      <c r="I46" s="1">
        <f t="shared" si="0"/>
        <v>-37274.999999999993</v>
      </c>
      <c r="J46" s="1">
        <f t="shared" si="0"/>
        <v>0</v>
      </c>
      <c r="K46" s="1">
        <f t="shared" si="1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2007</v>
      </c>
      <c r="B47" s="213" t="s">
        <v>68</v>
      </c>
      <c r="C47" s="291">
        <v>-25926.19</v>
      </c>
      <c r="D47" s="206"/>
      <c r="E47" s="214"/>
      <c r="F47" s="241">
        <v>-38666.93</v>
      </c>
      <c r="G47" s="206"/>
      <c r="H47" s="214"/>
      <c r="I47" s="1">
        <f t="shared" si="0"/>
        <v>12740.740000000002</v>
      </c>
      <c r="J47" s="1">
        <f t="shared" si="0"/>
        <v>0</v>
      </c>
      <c r="K47" s="1">
        <f t="shared" si="1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2008</v>
      </c>
      <c r="B48" s="213" t="s">
        <v>70</v>
      </c>
      <c r="C48" s="291">
        <v>18459.95</v>
      </c>
      <c r="D48" s="206"/>
      <c r="E48" s="214"/>
      <c r="F48" s="241">
        <v>36498.620000000003</v>
      </c>
      <c r="G48" s="206"/>
      <c r="H48" s="214"/>
      <c r="I48" s="1">
        <f t="shared" si="0"/>
        <v>-18038.670000000002</v>
      </c>
      <c r="J48" s="1">
        <f t="shared" si="0"/>
        <v>0</v>
      </c>
      <c r="K48" s="1">
        <f t="shared" si="1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2009</v>
      </c>
      <c r="B49" s="213" t="s">
        <v>567</v>
      </c>
      <c r="C49" s="291">
        <v>-34502.550000000003</v>
      </c>
      <c r="D49" s="206"/>
      <c r="E49" s="214"/>
      <c r="F49" s="241">
        <v>-6447.45</v>
      </c>
      <c r="G49" s="206"/>
      <c r="H49" s="214"/>
      <c r="I49" s="1">
        <f t="shared" si="0"/>
        <v>-28055.100000000002</v>
      </c>
      <c r="J49" s="1">
        <f t="shared" si="0"/>
        <v>0</v>
      </c>
      <c r="K49" s="1">
        <f t="shared" si="1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2010</v>
      </c>
      <c r="B50" s="213" t="s">
        <v>74</v>
      </c>
      <c r="C50" s="291">
        <v>-1719.48</v>
      </c>
      <c r="D50" s="206"/>
      <c r="E50" s="214"/>
      <c r="F50" s="241">
        <v>-3210.06</v>
      </c>
      <c r="G50" s="206"/>
      <c r="H50" s="214"/>
      <c r="I50" s="1">
        <f t="shared" si="0"/>
        <v>1490.58</v>
      </c>
      <c r="J50" s="1">
        <f t="shared" si="0"/>
        <v>0</v>
      </c>
      <c r="K50" s="1">
        <f t="shared" si="1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2011</v>
      </c>
      <c r="B51" s="213" t="s">
        <v>76</v>
      </c>
      <c r="C51" s="291">
        <v>-2559.08</v>
      </c>
      <c r="D51" s="206"/>
      <c r="E51" s="214"/>
      <c r="F51" s="241">
        <v>-4617.1400000000003</v>
      </c>
      <c r="G51" s="206"/>
      <c r="H51" s="214"/>
      <c r="I51" s="1">
        <f t="shared" si="0"/>
        <v>2058.0600000000004</v>
      </c>
      <c r="J51" s="1">
        <f t="shared" si="0"/>
        <v>0</v>
      </c>
      <c r="K51" s="1">
        <f t="shared" si="1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2012</v>
      </c>
      <c r="B52" s="213" t="s">
        <v>78</v>
      </c>
      <c r="C52" s="291">
        <v>-32966.620000000003</v>
      </c>
      <c r="D52" s="206"/>
      <c r="E52" s="214"/>
      <c r="F52" s="241">
        <v>15698.9</v>
      </c>
      <c r="G52" s="206"/>
      <c r="H52" s="214"/>
      <c r="I52" s="1">
        <f t="shared" si="0"/>
        <v>-48665.520000000004</v>
      </c>
      <c r="J52" s="1">
        <f t="shared" si="0"/>
        <v>0</v>
      </c>
      <c r="K52" s="1">
        <f t="shared" si="1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2013</v>
      </c>
      <c r="B53" s="213" t="s">
        <v>80</v>
      </c>
      <c r="C53" s="291">
        <v>62730.07</v>
      </c>
      <c r="D53" s="206"/>
      <c r="E53" s="214"/>
      <c r="F53" s="241">
        <v>103498.6</v>
      </c>
      <c r="G53" s="206"/>
      <c r="H53" s="214"/>
      <c r="I53" s="1">
        <f t="shared" si="0"/>
        <v>-40768.530000000006</v>
      </c>
      <c r="J53" s="1">
        <f t="shared" si="0"/>
        <v>0</v>
      </c>
      <c r="K53" s="1">
        <f t="shared" si="1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2014</v>
      </c>
      <c r="B54" s="213" t="s">
        <v>82</v>
      </c>
      <c r="C54" s="291">
        <v>-23185.05</v>
      </c>
      <c r="D54" s="206"/>
      <c r="E54" s="214"/>
      <c r="F54" s="241">
        <v>-16098.65</v>
      </c>
      <c r="G54" s="206"/>
      <c r="H54" s="214"/>
      <c r="I54" s="1">
        <f t="shared" si="0"/>
        <v>-7086.4</v>
      </c>
      <c r="J54" s="1">
        <f t="shared" si="0"/>
        <v>0</v>
      </c>
      <c r="K54" s="1">
        <f t="shared" si="1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2015</v>
      </c>
      <c r="B55" s="213" t="s">
        <v>84</v>
      </c>
      <c r="C55" s="291">
        <v>-3707.8</v>
      </c>
      <c r="D55" s="206"/>
      <c r="E55" s="214"/>
      <c r="F55" s="241">
        <v>7945.03</v>
      </c>
      <c r="G55" s="206"/>
      <c r="H55" s="214"/>
      <c r="I55" s="1">
        <f t="shared" si="0"/>
        <v>-11652.83</v>
      </c>
      <c r="J55" s="1">
        <f t="shared" si="0"/>
        <v>0</v>
      </c>
      <c r="K55" s="1">
        <f t="shared" si="1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2016</v>
      </c>
      <c r="B56" s="213" t="s">
        <v>86</v>
      </c>
      <c r="C56" s="291">
        <v>-32774.36</v>
      </c>
      <c r="D56" s="206"/>
      <c r="E56" s="214"/>
      <c r="F56" s="241">
        <v>-40916.379999999997</v>
      </c>
      <c r="G56" s="206"/>
      <c r="H56" s="214"/>
      <c r="I56" s="1">
        <f t="shared" si="0"/>
        <v>8142.0199999999968</v>
      </c>
      <c r="J56" s="1">
        <f t="shared" si="0"/>
        <v>0</v>
      </c>
      <c r="K56" s="1">
        <f t="shared" si="1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2017</v>
      </c>
      <c r="B57" s="213" t="s">
        <v>88</v>
      </c>
      <c r="C57" s="291">
        <v>19890.02</v>
      </c>
      <c r="D57" s="206"/>
      <c r="E57" s="214"/>
      <c r="F57" s="241">
        <v>29867.14</v>
      </c>
      <c r="G57" s="206"/>
      <c r="H57" s="214"/>
      <c r="I57" s="1">
        <f t="shared" si="0"/>
        <v>-9977.119999999999</v>
      </c>
      <c r="J57" s="1">
        <f t="shared" si="0"/>
        <v>0</v>
      </c>
      <c r="K57" s="1">
        <f t="shared" si="1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2018</v>
      </c>
      <c r="B58" s="213" t="s">
        <v>90</v>
      </c>
      <c r="C58" s="291">
        <v>-44622.58</v>
      </c>
      <c r="D58" s="206"/>
      <c r="E58" s="214"/>
      <c r="F58" s="241">
        <v>-25622.95</v>
      </c>
      <c r="G58" s="206"/>
      <c r="H58" s="214"/>
      <c r="I58" s="1">
        <f t="shared" si="0"/>
        <v>-18999.63</v>
      </c>
      <c r="J58" s="1">
        <f t="shared" si="0"/>
        <v>0</v>
      </c>
      <c r="K58" s="1">
        <f t="shared" si="1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2019</v>
      </c>
      <c r="B59" s="213" t="s">
        <v>568</v>
      </c>
      <c r="C59" s="291">
        <v>14178.92</v>
      </c>
      <c r="D59" s="206"/>
      <c r="E59" s="214"/>
      <c r="F59" s="241">
        <v>10529.92</v>
      </c>
      <c r="G59" s="206"/>
      <c r="H59" s="214"/>
      <c r="I59" s="1">
        <f t="shared" si="0"/>
        <v>3649</v>
      </c>
      <c r="J59" s="1">
        <f t="shared" si="0"/>
        <v>0</v>
      </c>
      <c r="K59" s="1">
        <f t="shared" si="1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2020</v>
      </c>
      <c r="B60" s="213" t="s">
        <v>94</v>
      </c>
      <c r="C60" s="291">
        <v>-6929.31</v>
      </c>
      <c r="D60" s="206"/>
      <c r="E60" s="214"/>
      <c r="F60" s="241">
        <v>-5110.0600000000004</v>
      </c>
      <c r="G60" s="206"/>
      <c r="H60" s="214"/>
      <c r="I60" s="1">
        <f t="shared" si="0"/>
        <v>-1819.25</v>
      </c>
      <c r="J60" s="1">
        <f t="shared" si="0"/>
        <v>0</v>
      </c>
      <c r="K60" s="1">
        <f t="shared" si="1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2024</v>
      </c>
      <c r="B61" s="213" t="s">
        <v>96</v>
      </c>
      <c r="C61" s="291">
        <v>-31494.82</v>
      </c>
      <c r="D61" s="206"/>
      <c r="E61" s="214"/>
      <c r="F61" s="241">
        <v>-51960.97</v>
      </c>
      <c r="G61" s="206"/>
      <c r="H61" s="214"/>
      <c r="I61" s="1">
        <f t="shared" si="0"/>
        <v>20466.150000000001</v>
      </c>
      <c r="J61" s="1">
        <f t="shared" si="0"/>
        <v>0</v>
      </c>
      <c r="K61" s="1">
        <f t="shared" si="1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2025</v>
      </c>
      <c r="B62" s="213" t="s">
        <v>98</v>
      </c>
      <c r="C62" s="291">
        <v>-1021.61</v>
      </c>
      <c r="D62" s="206"/>
      <c r="E62" s="214"/>
      <c r="F62" s="241">
        <v>-1021.61</v>
      </c>
      <c r="G62" s="206"/>
      <c r="H62" s="214"/>
      <c r="I62" s="1">
        <f t="shared" si="0"/>
        <v>0</v>
      </c>
      <c r="J62" s="1">
        <f t="shared" si="0"/>
        <v>0</v>
      </c>
      <c r="K62" s="1">
        <f t="shared" si="1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2026</v>
      </c>
      <c r="B63" s="213" t="s">
        <v>100</v>
      </c>
      <c r="C63" s="291">
        <v>-13919.65</v>
      </c>
      <c r="D63" s="206"/>
      <c r="E63" s="214"/>
      <c r="F63" s="241">
        <v>-13919.65</v>
      </c>
      <c r="G63" s="206"/>
      <c r="H63" s="214"/>
      <c r="I63" s="1">
        <f t="shared" si="0"/>
        <v>0</v>
      </c>
      <c r="J63" s="1">
        <f t="shared" si="0"/>
        <v>0</v>
      </c>
      <c r="K63" s="1">
        <f t="shared" si="1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2027</v>
      </c>
      <c r="B64" s="213" t="s">
        <v>102</v>
      </c>
      <c r="C64" s="291">
        <v>-29650.720000000001</v>
      </c>
      <c r="D64" s="206"/>
      <c r="E64" s="214"/>
      <c r="F64" s="241">
        <v>13945.14</v>
      </c>
      <c r="G64" s="206"/>
      <c r="H64" s="214"/>
      <c r="I64" s="1">
        <f t="shared" si="0"/>
        <v>-43595.86</v>
      </c>
      <c r="J64" s="1">
        <f t="shared" si="0"/>
        <v>0</v>
      </c>
      <c r="K64" s="1">
        <f t="shared" si="1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2028</v>
      </c>
      <c r="B65" s="213" t="s">
        <v>569</v>
      </c>
      <c r="C65" s="291">
        <v>-26682.9</v>
      </c>
      <c r="D65" s="206"/>
      <c r="E65" s="214"/>
      <c r="F65" s="241">
        <v>-22025.27</v>
      </c>
      <c r="G65" s="206"/>
      <c r="H65" s="214"/>
      <c r="I65" s="1">
        <f t="shared" si="0"/>
        <v>-4657.630000000001</v>
      </c>
      <c r="J65" s="1">
        <f t="shared" si="0"/>
        <v>0</v>
      </c>
      <c r="K65" s="1">
        <f t="shared" si="1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2029</v>
      </c>
      <c r="B66" s="213" t="s">
        <v>106</v>
      </c>
      <c r="C66" s="291">
        <v>-26508.22</v>
      </c>
      <c r="D66" s="206"/>
      <c r="E66" s="214"/>
      <c r="F66" s="241">
        <v>11544.72</v>
      </c>
      <c r="G66" s="206"/>
      <c r="H66" s="214"/>
      <c r="I66" s="1">
        <f t="shared" si="0"/>
        <v>-38052.94</v>
      </c>
      <c r="J66" s="1">
        <f t="shared" si="0"/>
        <v>0</v>
      </c>
      <c r="K66" s="1">
        <f t="shared" si="1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2030</v>
      </c>
      <c r="B67" s="213" t="s">
        <v>108</v>
      </c>
      <c r="C67" s="291">
        <v>-47345.16</v>
      </c>
      <c r="D67" s="206"/>
      <c r="E67" s="214"/>
      <c r="F67" s="241">
        <v>-55503.86</v>
      </c>
      <c r="G67" s="206"/>
      <c r="H67" s="214"/>
      <c r="I67" s="1">
        <f t="shared" si="0"/>
        <v>8158.6999999999971</v>
      </c>
      <c r="J67" s="1">
        <f t="shared" si="0"/>
        <v>0</v>
      </c>
      <c r="K67" s="1">
        <f t="shared" si="1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2031</v>
      </c>
      <c r="B68" s="213" t="s">
        <v>570</v>
      </c>
      <c r="C68" s="241">
        <v>-188530.28</v>
      </c>
      <c r="D68" s="206"/>
      <c r="E68" s="214"/>
      <c r="F68" s="241">
        <v>-232063.9</v>
      </c>
      <c r="G68" s="206"/>
      <c r="H68" s="214"/>
      <c r="I68" s="1">
        <f t="shared" ref="I68:K105" si="2">C68-F68</f>
        <v>43533.619999999995</v>
      </c>
      <c r="J68" s="1">
        <f t="shared" ref="J68:K84" si="3">D68-G68</f>
        <v>0</v>
      </c>
      <c r="K68" s="1">
        <f t="shared" si="1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2032</v>
      </c>
      <c r="B69" s="213" t="s">
        <v>112</v>
      </c>
      <c r="C69" s="241">
        <v>-3223.75</v>
      </c>
      <c r="D69" s="206"/>
      <c r="E69" s="214"/>
      <c r="F69" s="241">
        <v>-4708.5</v>
      </c>
      <c r="G69" s="206"/>
      <c r="H69" s="214"/>
      <c r="I69" s="1">
        <f t="shared" si="2"/>
        <v>1484.75</v>
      </c>
      <c r="J69" s="1">
        <f t="shared" si="3"/>
        <v>0</v>
      </c>
      <c r="K69" s="1">
        <f t="shared" si="3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2034</v>
      </c>
      <c r="B70" s="213" t="s">
        <v>114</v>
      </c>
      <c r="C70" s="241">
        <v>-27441.02</v>
      </c>
      <c r="D70" s="206"/>
      <c r="E70" s="214"/>
      <c r="F70" s="241">
        <v>-38091.93</v>
      </c>
      <c r="G70" s="206"/>
      <c r="H70" s="214"/>
      <c r="I70" s="1">
        <f t="shared" si="2"/>
        <v>10650.91</v>
      </c>
      <c r="J70" s="1">
        <f t="shared" si="3"/>
        <v>0</v>
      </c>
      <c r="K70" s="1">
        <f t="shared" si="3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2035</v>
      </c>
      <c r="B71" s="213" t="s">
        <v>116</v>
      </c>
      <c r="C71" s="241">
        <v>-118666.48</v>
      </c>
      <c r="D71" s="206"/>
      <c r="E71" s="214"/>
      <c r="F71" s="241">
        <v>-112274.35</v>
      </c>
      <c r="G71" s="206"/>
      <c r="H71" s="214"/>
      <c r="I71" s="1">
        <f t="shared" si="2"/>
        <v>-6392.1299999999901</v>
      </c>
      <c r="J71" s="1">
        <f t="shared" si="3"/>
        <v>0</v>
      </c>
      <c r="K71" s="1">
        <f t="shared" si="3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2036</v>
      </c>
      <c r="B72" s="213" t="s">
        <v>571</v>
      </c>
      <c r="C72" s="241">
        <v>-7188</v>
      </c>
      <c r="D72" s="206"/>
      <c r="E72" s="214"/>
      <c r="F72" s="241">
        <v>-4664</v>
      </c>
      <c r="G72" s="206"/>
      <c r="H72" s="214"/>
      <c r="I72" s="1">
        <f t="shared" si="2"/>
        <v>-2524</v>
      </c>
      <c r="J72" s="1">
        <f t="shared" si="3"/>
        <v>0</v>
      </c>
      <c r="K72" s="1">
        <f t="shared" si="3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2037</v>
      </c>
      <c r="B73" s="213" t="s">
        <v>572</v>
      </c>
      <c r="C73" s="241">
        <v>-187807.53</v>
      </c>
      <c r="D73" s="206"/>
      <c r="E73" s="214"/>
      <c r="F73" s="241">
        <v>-281103.53000000003</v>
      </c>
      <c r="G73" s="206"/>
      <c r="H73" s="214"/>
      <c r="I73" s="1">
        <f t="shared" si="2"/>
        <v>93296.000000000029</v>
      </c>
      <c r="J73" s="1">
        <f t="shared" si="3"/>
        <v>0</v>
      </c>
      <c r="K73" s="1">
        <f t="shared" si="3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2038</v>
      </c>
      <c r="B74" s="213" t="s">
        <v>573</v>
      </c>
      <c r="C74" s="241">
        <v>-15769.25</v>
      </c>
      <c r="D74" s="206"/>
      <c r="E74" s="214"/>
      <c r="F74" s="241">
        <v>-21402.35</v>
      </c>
      <c r="G74" s="206"/>
      <c r="H74" s="214"/>
      <c r="I74" s="1">
        <f t="shared" si="2"/>
        <v>5633.0999999999985</v>
      </c>
      <c r="J74" s="1">
        <f t="shared" si="3"/>
        <v>0</v>
      </c>
      <c r="K74" s="1">
        <f t="shared" si="3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14.4">
      <c r="A75" s="215">
        <v>2039</v>
      </c>
      <c r="B75" s="216" t="s">
        <v>764</v>
      </c>
      <c r="C75" s="241">
        <v>-31419.46</v>
      </c>
      <c r="D75" s="206"/>
      <c r="E75" s="214"/>
      <c r="F75" s="241">
        <v>-21599.43</v>
      </c>
      <c r="G75" s="206"/>
      <c r="H75" s="214"/>
      <c r="I75" s="1">
        <f t="shared" si="2"/>
        <v>-9820.0299999999988</v>
      </c>
      <c r="J75" s="1">
        <f t="shared" si="3"/>
        <v>0</v>
      </c>
      <c r="K75" s="1">
        <f t="shared" si="3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2040</v>
      </c>
      <c r="B76" s="213" t="s">
        <v>528</v>
      </c>
      <c r="C76" s="241">
        <v>-541013.30000000005</v>
      </c>
      <c r="D76" s="206"/>
      <c r="E76" s="214"/>
      <c r="F76" s="241">
        <v>-541013.30000000005</v>
      </c>
      <c r="G76" s="206"/>
      <c r="H76" s="214"/>
      <c r="I76" s="1">
        <f t="shared" si="2"/>
        <v>0</v>
      </c>
      <c r="J76" s="1">
        <f t="shared" si="2"/>
        <v>0</v>
      </c>
      <c r="K76" s="1">
        <f t="shared" si="3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2041</v>
      </c>
      <c r="B77" s="213" t="s">
        <v>126</v>
      </c>
      <c r="C77" s="241">
        <v>-96296.55</v>
      </c>
      <c r="D77" s="206">
        <f>SUM(C76:C77)</f>
        <v>-637309.85000000009</v>
      </c>
      <c r="E77" s="214"/>
      <c r="F77" s="241">
        <v>-96296.55</v>
      </c>
      <c r="G77" s="206">
        <f>SUM(F76:F77)</f>
        <v>-637309.85000000009</v>
      </c>
      <c r="H77" s="217"/>
      <c r="I77" s="1">
        <f t="shared" si="2"/>
        <v>0</v>
      </c>
      <c r="J77" s="1">
        <f t="shared" si="2"/>
        <v>0</v>
      </c>
      <c r="K77" s="1">
        <f t="shared" si="3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2045</v>
      </c>
      <c r="B78" s="213" t="s">
        <v>128</v>
      </c>
      <c r="C78" s="241">
        <v>35485.9</v>
      </c>
      <c r="D78" s="206"/>
      <c r="E78" s="214"/>
      <c r="F78" s="241">
        <v>35485.9</v>
      </c>
      <c r="G78" s="206"/>
      <c r="H78" s="214"/>
      <c r="I78" s="1">
        <f t="shared" si="2"/>
        <v>0</v>
      </c>
      <c r="J78" s="1">
        <f t="shared" si="2"/>
        <v>0</v>
      </c>
      <c r="K78" s="1">
        <f t="shared" si="3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 ht="14.4">
      <c r="A79" s="215">
        <v>2046</v>
      </c>
      <c r="B79" s="216" t="s">
        <v>765</v>
      </c>
      <c r="C79" s="241">
        <v>94204.98</v>
      </c>
      <c r="D79" s="206"/>
      <c r="E79" s="214"/>
      <c r="F79" s="241">
        <v>94204.98</v>
      </c>
      <c r="G79" s="206"/>
      <c r="H79" s="214"/>
      <c r="I79" s="1">
        <f t="shared" si="2"/>
        <v>0</v>
      </c>
      <c r="J79" s="1">
        <f t="shared" si="2"/>
        <v>0</v>
      </c>
      <c r="K79" s="1">
        <f t="shared" si="3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2050</v>
      </c>
      <c r="B80" s="213" t="s">
        <v>694</v>
      </c>
      <c r="C80" s="241">
        <v>205398.28</v>
      </c>
      <c r="D80" s="206"/>
      <c r="E80" s="214"/>
      <c r="F80" s="241">
        <v>101852.31</v>
      </c>
      <c r="G80" s="206"/>
      <c r="H80" s="214"/>
      <c r="I80" s="1">
        <f t="shared" si="2"/>
        <v>103545.97</v>
      </c>
      <c r="J80" s="1">
        <f t="shared" si="2"/>
        <v>0</v>
      </c>
      <c r="K80" s="1">
        <f t="shared" si="3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2055</v>
      </c>
      <c r="B81" s="213" t="s">
        <v>574</v>
      </c>
      <c r="C81" s="241">
        <v>429477.08</v>
      </c>
      <c r="D81" s="206"/>
      <c r="E81" s="214"/>
      <c r="F81" s="241">
        <v>956124.82</v>
      </c>
      <c r="G81" s="206"/>
      <c r="H81" s="214"/>
      <c r="I81" s="1">
        <f t="shared" si="2"/>
        <v>-526647.74</v>
      </c>
      <c r="J81" s="1">
        <f t="shared" si="2"/>
        <v>0</v>
      </c>
      <c r="K81" s="1">
        <f t="shared" si="3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2070</v>
      </c>
      <c r="B82" s="213" t="s">
        <v>134</v>
      </c>
      <c r="C82" s="241">
        <v>-854879.78</v>
      </c>
      <c r="D82" s="206"/>
      <c r="E82" s="214"/>
      <c r="F82" s="241">
        <v>-738786.56</v>
      </c>
      <c r="G82" s="206"/>
      <c r="H82" s="214"/>
      <c r="I82" s="1">
        <f t="shared" si="2"/>
        <v>-116093.21999999997</v>
      </c>
      <c r="J82" s="1">
        <f t="shared" si="2"/>
        <v>0</v>
      </c>
      <c r="K82" s="1">
        <f t="shared" si="3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2080</v>
      </c>
      <c r="B83" s="213" t="s">
        <v>136</v>
      </c>
      <c r="C83" s="241">
        <v>-460950.11</v>
      </c>
      <c r="D83" s="206"/>
      <c r="E83" s="214"/>
      <c r="F83" s="241">
        <v>-543792.30000000005</v>
      </c>
      <c r="G83" s="229"/>
      <c r="H83" s="214"/>
      <c r="I83" s="1">
        <f t="shared" si="2"/>
        <v>82842.190000000061</v>
      </c>
      <c r="J83" s="1">
        <f t="shared" si="2"/>
        <v>0</v>
      </c>
      <c r="K83" s="1">
        <f t="shared" si="3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2090</v>
      </c>
      <c r="B84" s="213" t="s">
        <v>695</v>
      </c>
      <c r="C84" s="241">
        <v>106985.63</v>
      </c>
      <c r="D84" s="261"/>
      <c r="E84" s="217"/>
      <c r="F84" s="241">
        <v>58025</v>
      </c>
      <c r="G84" s="239"/>
      <c r="H84" s="217"/>
      <c r="I84" s="1">
        <f t="shared" si="2"/>
        <v>48960.630000000005</v>
      </c>
      <c r="J84" s="1">
        <f t="shared" si="2"/>
        <v>0</v>
      </c>
      <c r="K84" s="1">
        <f t="shared" si="3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/>
      <c r="B85" s="213" t="s">
        <v>575</v>
      </c>
      <c r="C85" s="241">
        <f>'Årsregnskap 2018'!C29*-1</f>
        <v>-1156077.4100000006</v>
      </c>
      <c r="D85" s="206">
        <f>SUM(C41:C75)+C78+C79+C80+C81+C82+C83+C84+C85</f>
        <v>-2551238.9200000009</v>
      </c>
      <c r="E85" s="214">
        <f>SUM(D77:D85)</f>
        <v>-3188548.7700000009</v>
      </c>
      <c r="F85" s="241">
        <f>'Årsregnskap 2018'!D29*-1</f>
        <v>-437031.91000000021</v>
      </c>
      <c r="G85" s="206">
        <f>SUM(F41:F75)+F78+F79+F80+F81+F82+F83+F84+F85</f>
        <v>-1395161.5100000005</v>
      </c>
      <c r="H85" s="214">
        <f>G77+G85</f>
        <v>-2032471.3600000006</v>
      </c>
      <c r="I85" s="1">
        <f t="shared" si="2"/>
        <v>-719045.50000000047</v>
      </c>
      <c r="J85" s="1">
        <f t="shared" si="2"/>
        <v>-1156077.4100000004</v>
      </c>
      <c r="K85" s="1">
        <f t="shared" si="2"/>
        <v>-1156077.4100000004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2192</v>
      </c>
      <c r="B86" s="213" t="s">
        <v>138</v>
      </c>
      <c r="C86" s="246">
        <v>0</v>
      </c>
      <c r="D86" s="206"/>
      <c r="E86" s="214"/>
      <c r="F86" s="246">
        <v>0</v>
      </c>
      <c r="G86" s="206"/>
      <c r="H86" s="214"/>
      <c r="I86" s="1">
        <f t="shared" si="2"/>
        <v>0</v>
      </c>
      <c r="J86" s="1">
        <f t="shared" si="2"/>
        <v>0</v>
      </c>
      <c r="K86" s="1">
        <f t="shared" si="2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2240</v>
      </c>
      <c r="B87" s="213" t="s">
        <v>140</v>
      </c>
      <c r="C87" s="243">
        <v>-1000000</v>
      </c>
      <c r="D87" s="206"/>
      <c r="E87" s="214"/>
      <c r="F87" s="243">
        <v>-1000000</v>
      </c>
      <c r="G87" s="206"/>
      <c r="H87" s="214"/>
      <c r="I87" s="1">
        <f t="shared" si="2"/>
        <v>0</v>
      </c>
      <c r="J87" s="1">
        <f t="shared" si="2"/>
        <v>0</v>
      </c>
      <c r="K87" s="1">
        <f t="shared" si="2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2241</v>
      </c>
      <c r="B88" s="213" t="s">
        <v>142</v>
      </c>
      <c r="C88" s="243">
        <v>-277790</v>
      </c>
      <c r="D88" s="227">
        <f>SUM(C87:C88)+C91</f>
        <v>-1312790</v>
      </c>
      <c r="E88" s="214"/>
      <c r="F88" s="243">
        <v>-277790</v>
      </c>
      <c r="G88" s="227">
        <f>SUM(F87:F88)+F91</f>
        <v>-1312790</v>
      </c>
      <c r="H88" s="214"/>
      <c r="I88" s="1">
        <f t="shared" si="2"/>
        <v>0</v>
      </c>
      <c r="J88" s="1">
        <f t="shared" si="2"/>
        <v>0</v>
      </c>
      <c r="K88" s="1">
        <f t="shared" si="2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2400</v>
      </c>
      <c r="B89" s="213" t="s">
        <v>578</v>
      </c>
      <c r="C89" s="241">
        <v>-449161.06</v>
      </c>
      <c r="D89" s="206">
        <f>C89</f>
        <v>-449161.06</v>
      </c>
      <c r="E89" s="214"/>
      <c r="F89" s="241">
        <v>-449203.53</v>
      </c>
      <c r="G89" s="206">
        <f>F89</f>
        <v>-449203.53</v>
      </c>
      <c r="H89" s="214"/>
      <c r="I89" s="1">
        <f t="shared" si="2"/>
        <v>42.470000000030268</v>
      </c>
      <c r="J89" s="1">
        <f t="shared" si="2"/>
        <v>42.470000000030268</v>
      </c>
      <c r="K89" s="1">
        <f t="shared" si="2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2442</v>
      </c>
      <c r="B90" s="213" t="s">
        <v>576</v>
      </c>
      <c r="C90" s="244">
        <v>-10000</v>
      </c>
      <c r="D90" s="206"/>
      <c r="E90" s="214"/>
      <c r="F90" s="244">
        <v>-10000</v>
      </c>
      <c r="G90" s="206"/>
      <c r="H90" s="214"/>
      <c r="I90" s="1">
        <f t="shared" si="2"/>
        <v>0</v>
      </c>
      <c r="J90" s="1">
        <f t="shared" si="2"/>
        <v>0</v>
      </c>
      <c r="K90" s="1">
        <f t="shared" si="2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2443</v>
      </c>
      <c r="B91" s="213" t="s">
        <v>150</v>
      </c>
      <c r="C91" s="243">
        <v>-35000</v>
      </c>
      <c r="D91" s="206"/>
      <c r="E91" s="214"/>
      <c r="F91" s="243">
        <v>-35000</v>
      </c>
      <c r="G91" s="206"/>
      <c r="H91" s="214"/>
      <c r="I91" s="1">
        <f t="shared" si="2"/>
        <v>0</v>
      </c>
      <c r="J91" s="1">
        <f t="shared" si="2"/>
        <v>0</v>
      </c>
      <c r="K91" s="1">
        <f t="shared" si="2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2444</v>
      </c>
      <c r="B92" s="213" t="s">
        <v>577</v>
      </c>
      <c r="C92" s="244">
        <v>-10000</v>
      </c>
      <c r="D92" s="228">
        <f>C90+C92</f>
        <v>-20000</v>
      </c>
      <c r="E92" s="214"/>
      <c r="F92" s="244">
        <v>-10000</v>
      </c>
      <c r="G92" s="228">
        <f>F90+F92</f>
        <v>-20000</v>
      </c>
      <c r="H92" s="214"/>
      <c r="I92" s="1">
        <f t="shared" si="2"/>
        <v>0</v>
      </c>
      <c r="J92" s="1">
        <f t="shared" si="2"/>
        <v>0</v>
      </c>
      <c r="K92" s="1">
        <f t="shared" si="2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2600</v>
      </c>
      <c r="B93" s="213" t="s">
        <v>579</v>
      </c>
      <c r="C93" s="242">
        <v>-20842</v>
      </c>
      <c r="D93" s="206"/>
      <c r="E93" s="214"/>
      <c r="F93" s="242">
        <v>-21452</v>
      </c>
      <c r="G93" s="206"/>
      <c r="H93" s="214"/>
      <c r="I93" s="1">
        <f t="shared" si="2"/>
        <v>610</v>
      </c>
      <c r="J93" s="1">
        <f t="shared" si="2"/>
        <v>0</v>
      </c>
      <c r="K93" s="1">
        <f t="shared" si="2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2770</v>
      </c>
      <c r="B94" s="213" t="s">
        <v>160</v>
      </c>
      <c r="C94" s="242">
        <v>-44353.93</v>
      </c>
      <c r="D94" s="225">
        <f>SUM(C93:C94)</f>
        <v>-65195.93</v>
      </c>
      <c r="E94" s="214"/>
      <c r="F94" s="242">
        <v>-28625.34</v>
      </c>
      <c r="G94" s="225">
        <f>SUM(F93:F94)</f>
        <v>-50077.34</v>
      </c>
      <c r="H94" s="214"/>
      <c r="I94" s="1">
        <f t="shared" si="2"/>
        <v>-15728.59</v>
      </c>
      <c r="J94" s="1">
        <f t="shared" si="2"/>
        <v>-15118.590000000004</v>
      </c>
      <c r="K94" s="1">
        <f t="shared" si="2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2780</v>
      </c>
      <c r="B95" s="213" t="s">
        <v>582</v>
      </c>
      <c r="C95" s="246">
        <v>-6641.68</v>
      </c>
      <c r="D95" s="206"/>
      <c r="E95" s="214"/>
      <c r="F95" s="246">
        <v>-2749.5</v>
      </c>
      <c r="G95" s="206"/>
      <c r="H95" s="214"/>
      <c r="I95" s="1">
        <f t="shared" si="2"/>
        <v>-3892.1800000000003</v>
      </c>
      <c r="J95" s="1">
        <f t="shared" si="2"/>
        <v>0</v>
      </c>
      <c r="K95" s="1">
        <f t="shared" si="2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2900</v>
      </c>
      <c r="B96" s="213" t="s">
        <v>164</v>
      </c>
      <c r="C96" s="246">
        <v>0</v>
      </c>
      <c r="D96" s="206"/>
      <c r="E96" s="214"/>
      <c r="F96" s="246">
        <v>0</v>
      </c>
      <c r="G96" s="206"/>
      <c r="H96" s="214"/>
      <c r="I96" s="1">
        <f t="shared" si="2"/>
        <v>0</v>
      </c>
      <c r="J96" s="1">
        <f t="shared" si="2"/>
        <v>0</v>
      </c>
      <c r="K96" s="1">
        <f t="shared" si="2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2930</v>
      </c>
      <c r="B97" s="213" t="s">
        <v>583</v>
      </c>
      <c r="C97" s="246">
        <v>0</v>
      </c>
      <c r="D97" s="206"/>
      <c r="E97" s="214"/>
      <c r="F97" s="246">
        <v>0</v>
      </c>
      <c r="G97" s="206"/>
      <c r="H97" s="214"/>
      <c r="I97" s="1">
        <f t="shared" si="2"/>
        <v>0</v>
      </c>
      <c r="J97" s="1">
        <f t="shared" si="2"/>
        <v>0</v>
      </c>
      <c r="K97" s="1">
        <f t="shared" si="2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2940</v>
      </c>
      <c r="B98" s="213" t="s">
        <v>168</v>
      </c>
      <c r="C98" s="246">
        <v>-47104.09</v>
      </c>
      <c r="D98" s="206"/>
      <c r="E98" s="214"/>
      <c r="F98" s="246">
        <v>-19500</v>
      </c>
      <c r="G98" s="206"/>
      <c r="H98" s="214"/>
      <c r="I98" s="1">
        <f t="shared" si="2"/>
        <v>-27604.089999999997</v>
      </c>
      <c r="J98" s="1">
        <f t="shared" si="2"/>
        <v>0</v>
      </c>
      <c r="K98" s="1">
        <f t="shared" si="2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2960</v>
      </c>
      <c r="B99" s="213" t="s">
        <v>584</v>
      </c>
      <c r="C99" s="246">
        <v>-736.95</v>
      </c>
      <c r="D99" s="206"/>
      <c r="E99" s="214"/>
      <c r="F99" s="246">
        <v>0</v>
      </c>
      <c r="G99" s="226"/>
      <c r="H99" s="217"/>
      <c r="I99" s="1">
        <f t="shared" si="2"/>
        <v>-736.95</v>
      </c>
      <c r="J99" s="1">
        <f t="shared" si="2"/>
        <v>0</v>
      </c>
      <c r="K99" s="1">
        <f t="shared" si="2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14.4">
      <c r="A100" s="215">
        <v>2990</v>
      </c>
      <c r="B100" s="216" t="s">
        <v>146</v>
      </c>
      <c r="C100" s="257">
        <v>0</v>
      </c>
      <c r="D100" s="258">
        <f>SUM(C95:C100)+C86</f>
        <v>-54482.719999999994</v>
      </c>
      <c r="E100" s="259">
        <f>SUM(D88:D100)</f>
        <v>-1901629.71</v>
      </c>
      <c r="F100" s="257">
        <v>0</v>
      </c>
      <c r="G100" s="258">
        <f>SUM(F95:F100)+F86</f>
        <v>-22249.5</v>
      </c>
      <c r="H100" s="259">
        <f>SUM(G88:G100)</f>
        <v>-1854320.37</v>
      </c>
      <c r="I100" s="1">
        <f t="shared" si="2"/>
        <v>0</v>
      </c>
      <c r="J100" s="1">
        <f t="shared" si="2"/>
        <v>-32233.219999999994</v>
      </c>
      <c r="K100" s="1">
        <f t="shared" si="2"/>
        <v>-47309.339999999851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/>
      <c r="B101" s="218" t="s">
        <v>820</v>
      </c>
      <c r="C101" s="241">
        <f>SUM(C41:C100)</f>
        <v>-5090178.4800000004</v>
      </c>
      <c r="D101" s="206"/>
      <c r="E101" s="214">
        <f>E85+E100</f>
        <v>-5090178.4800000004</v>
      </c>
      <c r="F101" s="241">
        <f>SUM(F41:F100)</f>
        <v>-3886791.7300000004</v>
      </c>
      <c r="G101" s="206"/>
      <c r="H101" s="214">
        <f>H85+H100</f>
        <v>-3886791.7300000004</v>
      </c>
      <c r="I101" s="1">
        <f t="shared" si="2"/>
        <v>-1203386.75</v>
      </c>
      <c r="J101" s="1">
        <f t="shared" si="2"/>
        <v>0</v>
      </c>
      <c r="K101" s="1">
        <f t="shared" si="2"/>
        <v>-1203386.75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3.8" thickBot="1">
      <c r="A102" s="212"/>
      <c r="B102" s="213"/>
      <c r="C102" s="241" t="s">
        <v>374</v>
      </c>
      <c r="D102" s="206"/>
      <c r="E102" s="214"/>
      <c r="F102" s="241"/>
      <c r="G102" s="206"/>
      <c r="H102" s="214"/>
      <c r="I102" s="1"/>
      <c r="J102" s="1">
        <f t="shared" si="2"/>
        <v>0</v>
      </c>
      <c r="K102" s="1">
        <f t="shared" si="2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14.4">
      <c r="A103" s="215">
        <v>3100</v>
      </c>
      <c r="B103" s="216" t="s">
        <v>766</v>
      </c>
      <c r="C103" s="280">
        <v>0</v>
      </c>
      <c r="D103" s="281"/>
      <c r="E103" s="282"/>
      <c r="F103" s="280">
        <v>-35803</v>
      </c>
      <c r="G103" s="281"/>
      <c r="H103" s="282"/>
      <c r="I103" s="1">
        <f t="shared" si="2"/>
        <v>35803</v>
      </c>
      <c r="J103" s="1">
        <f t="shared" si="2"/>
        <v>0</v>
      </c>
      <c r="K103" s="1">
        <f t="shared" si="2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3110</v>
      </c>
      <c r="B104" s="213" t="s">
        <v>176</v>
      </c>
      <c r="C104" s="247">
        <v>-670934.59</v>
      </c>
      <c r="D104" s="206"/>
      <c r="E104" s="214"/>
      <c r="F104" s="247">
        <v>-151201.10999999999</v>
      </c>
      <c r="G104" s="206"/>
      <c r="H104" s="214"/>
      <c r="I104" s="1">
        <f t="shared" si="2"/>
        <v>-519733.48</v>
      </c>
      <c r="J104" s="1">
        <f t="shared" si="2"/>
        <v>0</v>
      </c>
      <c r="K104" s="1">
        <f t="shared" si="2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3120</v>
      </c>
      <c r="B105" s="213" t="s">
        <v>178</v>
      </c>
      <c r="C105" s="247">
        <v>-64300</v>
      </c>
      <c r="D105" s="206"/>
      <c r="E105" s="214"/>
      <c r="F105" s="247">
        <v>-121600</v>
      </c>
      <c r="G105" s="206"/>
      <c r="H105" s="214"/>
      <c r="I105" s="1">
        <f>C105-F105</f>
        <v>57300</v>
      </c>
      <c r="J105" s="1">
        <f t="shared" ref="J105:K121" si="4">D105-G105</f>
        <v>0</v>
      </c>
      <c r="K105" s="1">
        <f t="shared" si="2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4.4">
      <c r="A106" s="215">
        <v>3160</v>
      </c>
      <c r="B106" s="216" t="s">
        <v>767</v>
      </c>
      <c r="C106" s="247">
        <v>0</v>
      </c>
      <c r="D106" s="206"/>
      <c r="E106" s="214"/>
      <c r="F106" s="247">
        <v>0</v>
      </c>
      <c r="G106" s="206"/>
      <c r="H106" s="214"/>
      <c r="I106" s="1">
        <f t="shared" ref="I106:I125" si="5">C106-F106</f>
        <v>0</v>
      </c>
      <c r="J106" s="1">
        <f t="shared" si="4"/>
        <v>0</v>
      </c>
      <c r="K106" s="1">
        <f t="shared" si="4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3400</v>
      </c>
      <c r="B107" s="213" t="s">
        <v>182</v>
      </c>
      <c r="C107" s="243">
        <v>-1911750</v>
      </c>
      <c r="D107" s="227">
        <f>C107</f>
        <v>-1911750</v>
      </c>
      <c r="E107" s="214"/>
      <c r="F107" s="243">
        <v>-1058000</v>
      </c>
      <c r="G107" s="227">
        <f>F107</f>
        <v>-1058000</v>
      </c>
      <c r="H107" s="214"/>
      <c r="I107" s="1">
        <f t="shared" si="5"/>
        <v>-853750</v>
      </c>
      <c r="J107" s="1">
        <f t="shared" si="4"/>
        <v>-853750</v>
      </c>
      <c r="K107" s="1">
        <f t="shared" si="4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3440</v>
      </c>
      <c r="B108" s="213" t="s">
        <v>588</v>
      </c>
      <c r="C108" s="247">
        <v>-385647</v>
      </c>
      <c r="D108" s="206"/>
      <c r="E108" s="214"/>
      <c r="F108" s="247">
        <v>-749357</v>
      </c>
      <c r="G108" s="206"/>
      <c r="H108" s="214"/>
      <c r="I108" s="1">
        <f t="shared" si="5"/>
        <v>363710</v>
      </c>
      <c r="J108" s="1">
        <f t="shared" si="4"/>
        <v>0</v>
      </c>
      <c r="K108" s="1">
        <f t="shared" si="4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3450</v>
      </c>
      <c r="B109" s="213" t="s">
        <v>865</v>
      </c>
      <c r="C109" s="247">
        <v>-329441</v>
      </c>
      <c r="D109" s="206"/>
      <c r="E109" s="214"/>
      <c r="F109" s="247">
        <v>0</v>
      </c>
      <c r="G109" s="206"/>
      <c r="H109" s="214"/>
      <c r="I109" s="1">
        <f t="shared" si="5"/>
        <v>-329441</v>
      </c>
      <c r="J109" s="1"/>
      <c r="K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4.4">
      <c r="A110" s="215">
        <v>3480</v>
      </c>
      <c r="B110" s="216" t="s">
        <v>190</v>
      </c>
      <c r="C110" s="247">
        <v>-27000</v>
      </c>
      <c r="D110" s="206"/>
      <c r="E110" s="214"/>
      <c r="F110" s="247">
        <v>14000</v>
      </c>
      <c r="G110" s="206"/>
      <c r="H110" s="214"/>
      <c r="I110" s="1">
        <f t="shared" si="5"/>
        <v>-41000</v>
      </c>
      <c r="J110" s="1">
        <f t="shared" si="4"/>
        <v>0</v>
      </c>
      <c r="K110" s="1">
        <f t="shared" si="4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3490</v>
      </c>
      <c r="B111" s="213" t="s">
        <v>194</v>
      </c>
      <c r="C111" s="247">
        <v>-261503.59</v>
      </c>
      <c r="D111" s="206"/>
      <c r="E111" s="214"/>
      <c r="F111" s="247">
        <v>-434028.43</v>
      </c>
      <c r="G111" s="206"/>
      <c r="H111" s="214"/>
      <c r="I111" s="1">
        <f t="shared" si="5"/>
        <v>172524.84</v>
      </c>
      <c r="J111" s="1">
        <f t="shared" si="4"/>
        <v>0</v>
      </c>
      <c r="K111" s="1">
        <f t="shared" si="4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3610</v>
      </c>
      <c r="B112" s="213" t="s">
        <v>589</v>
      </c>
      <c r="C112" s="248">
        <v>-635000</v>
      </c>
      <c r="D112" s="206"/>
      <c r="E112" s="214"/>
      <c r="F112" s="248">
        <v>-389550</v>
      </c>
      <c r="G112" s="206"/>
      <c r="H112" s="214"/>
      <c r="I112" s="1">
        <f t="shared" si="5"/>
        <v>-245450</v>
      </c>
      <c r="J112" s="1">
        <f t="shared" ref="J112:K128" si="6">D112-G112</f>
        <v>0</v>
      </c>
      <c r="K112" s="1">
        <f t="shared" si="4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3630</v>
      </c>
      <c r="B113" s="213" t="s">
        <v>198</v>
      </c>
      <c r="C113" s="248">
        <v>-48150.6</v>
      </c>
      <c r="D113" s="231">
        <f>SUM(C112:C113)</f>
        <v>-683150.6</v>
      </c>
      <c r="E113" s="214"/>
      <c r="F113" s="248">
        <v>-50975</v>
      </c>
      <c r="G113" s="231">
        <f>SUM(F112:F113)</f>
        <v>-440525</v>
      </c>
      <c r="H113" s="214"/>
      <c r="I113" s="1">
        <f t="shared" si="5"/>
        <v>2824.4000000000015</v>
      </c>
      <c r="J113" s="1">
        <f t="shared" si="6"/>
        <v>-242625.59999999998</v>
      </c>
      <c r="K113" s="1">
        <f t="shared" si="4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4.4">
      <c r="A114" s="215">
        <v>3700</v>
      </c>
      <c r="B114" s="216" t="s">
        <v>768</v>
      </c>
      <c r="C114" s="247">
        <v>0</v>
      </c>
      <c r="D114" s="206"/>
      <c r="E114" s="214"/>
      <c r="F114" s="247">
        <v>0</v>
      </c>
      <c r="G114" s="232"/>
      <c r="H114" s="214"/>
      <c r="I114" s="1">
        <f t="shared" si="5"/>
        <v>0</v>
      </c>
      <c r="J114" s="1">
        <f t="shared" si="6"/>
        <v>0</v>
      </c>
      <c r="K114" s="1">
        <f t="shared" si="4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14.4">
      <c r="A115" s="215">
        <v>3900</v>
      </c>
      <c r="B115" s="216" t="s">
        <v>590</v>
      </c>
      <c r="C115" s="247">
        <v>-9058</v>
      </c>
      <c r="D115" s="206"/>
      <c r="E115" s="214"/>
      <c r="F115" s="247">
        <v>-640</v>
      </c>
      <c r="G115" s="232"/>
      <c r="H115" s="214"/>
      <c r="I115" s="1">
        <f t="shared" si="5"/>
        <v>-8418</v>
      </c>
      <c r="J115" s="1">
        <f t="shared" si="6"/>
        <v>0</v>
      </c>
      <c r="K115" s="1">
        <f t="shared" si="4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3910</v>
      </c>
      <c r="B116" s="213" t="s">
        <v>591</v>
      </c>
      <c r="C116" s="249">
        <v>-49440</v>
      </c>
      <c r="D116" s="206"/>
      <c r="E116" s="214"/>
      <c r="F116" s="249">
        <v>-514732.67</v>
      </c>
      <c r="G116" s="206"/>
      <c r="H116" s="214"/>
      <c r="I116" s="1">
        <f t="shared" si="5"/>
        <v>465292.67</v>
      </c>
      <c r="J116" s="1">
        <f t="shared" si="6"/>
        <v>0</v>
      </c>
      <c r="K116" s="1">
        <f t="shared" si="4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3915</v>
      </c>
      <c r="B117" s="213" t="s">
        <v>204</v>
      </c>
      <c r="C117" s="249">
        <v>0</v>
      </c>
      <c r="D117" s="206"/>
      <c r="E117" s="214"/>
      <c r="F117" s="249">
        <v>0</v>
      </c>
      <c r="G117" s="206"/>
      <c r="H117" s="214"/>
      <c r="I117" s="1">
        <f t="shared" si="5"/>
        <v>0</v>
      </c>
      <c r="J117" s="1">
        <f t="shared" si="6"/>
        <v>0</v>
      </c>
      <c r="K117" s="1">
        <f t="shared" si="4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3920</v>
      </c>
      <c r="B118" s="213" t="s">
        <v>592</v>
      </c>
      <c r="C118" s="249">
        <v>-1437945</v>
      </c>
      <c r="D118" s="206"/>
      <c r="E118" s="214"/>
      <c r="F118" s="249">
        <v>-1360611</v>
      </c>
      <c r="G118" s="206"/>
      <c r="H118" s="214"/>
      <c r="I118" s="1">
        <f t="shared" si="5"/>
        <v>-77334</v>
      </c>
      <c r="J118" s="1">
        <f t="shared" si="6"/>
        <v>0</v>
      </c>
      <c r="K118" s="1">
        <f t="shared" si="4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3925</v>
      </c>
      <c r="B119" s="213" t="s">
        <v>208</v>
      </c>
      <c r="C119" s="249">
        <v>0</v>
      </c>
      <c r="D119" s="233">
        <f>SUM(C116:C119)</f>
        <v>-1487385</v>
      </c>
      <c r="E119" s="214"/>
      <c r="F119" s="249">
        <v>0</v>
      </c>
      <c r="G119" s="233">
        <f>SUM(F116:F119)</f>
        <v>-1875343.67</v>
      </c>
      <c r="H119" s="214"/>
      <c r="I119" s="1">
        <f t="shared" si="5"/>
        <v>0</v>
      </c>
      <c r="J119" s="1">
        <f t="shared" si="6"/>
        <v>387958.66999999993</v>
      </c>
      <c r="K119" s="1">
        <f t="shared" si="4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3940</v>
      </c>
      <c r="B120" s="213" t="s">
        <v>212</v>
      </c>
      <c r="C120" s="247">
        <v>-105086</v>
      </c>
      <c r="D120" s="206"/>
      <c r="E120" s="214"/>
      <c r="F120" s="247">
        <v>-212549.14</v>
      </c>
      <c r="G120" s="206"/>
      <c r="H120" s="214"/>
      <c r="I120" s="1">
        <f t="shared" si="5"/>
        <v>107463.14000000001</v>
      </c>
      <c r="J120" s="1">
        <f t="shared" si="6"/>
        <v>0</v>
      </c>
      <c r="K120" s="1">
        <f t="shared" si="4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3950</v>
      </c>
      <c r="B121" s="213" t="s">
        <v>214</v>
      </c>
      <c r="C121" s="247">
        <v>-392617.64</v>
      </c>
      <c r="D121" s="206"/>
      <c r="E121" s="214"/>
      <c r="F121" s="247">
        <v>-229955.5</v>
      </c>
      <c r="G121" s="206"/>
      <c r="H121" s="214"/>
      <c r="I121" s="1">
        <f t="shared" si="5"/>
        <v>-162662.14000000001</v>
      </c>
      <c r="J121" s="1">
        <f t="shared" si="6"/>
        <v>0</v>
      </c>
      <c r="K121" s="1">
        <f t="shared" si="4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3960</v>
      </c>
      <c r="B122" s="213" t="s">
        <v>216</v>
      </c>
      <c r="C122" s="247">
        <v>-454774.79</v>
      </c>
      <c r="D122" s="206"/>
      <c r="E122" s="214"/>
      <c r="F122" s="247">
        <v>-609895.44999999995</v>
      </c>
      <c r="G122" s="206"/>
      <c r="H122" s="214"/>
      <c r="I122" s="1">
        <f t="shared" si="5"/>
        <v>155120.65999999997</v>
      </c>
      <c r="J122" s="1">
        <f t="shared" si="6"/>
        <v>0</v>
      </c>
      <c r="K122" s="1">
        <f t="shared" si="6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3970</v>
      </c>
      <c r="B123" s="213" t="s">
        <v>218</v>
      </c>
      <c r="C123" s="247">
        <v>-299773.8</v>
      </c>
      <c r="D123" s="206"/>
      <c r="E123" s="214"/>
      <c r="F123" s="247">
        <v>-641352.5</v>
      </c>
      <c r="G123" s="206"/>
      <c r="H123" s="214"/>
      <c r="I123" s="1">
        <f t="shared" si="5"/>
        <v>341578.7</v>
      </c>
      <c r="J123" s="1">
        <f t="shared" si="6"/>
        <v>0</v>
      </c>
      <c r="K123" s="1">
        <f t="shared" si="6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3990</v>
      </c>
      <c r="B124" s="213" t="s">
        <v>220</v>
      </c>
      <c r="C124" s="283">
        <v>-567171.07999999996</v>
      </c>
      <c r="D124" s="279">
        <f>C103+C104+C105+C106+C108+C109+C110+C111+C114+C115+C120+C121+C122+C123+C124+C125+C126</f>
        <v>-3567591.11</v>
      </c>
      <c r="E124" s="274"/>
      <c r="F124" s="279">
        <v>-607612.05000000005</v>
      </c>
      <c r="G124" s="279">
        <f>F103+F104+F105+F106+F108+F110+F111+F114+F120+F121+F122+F123+F124+F115+F126+F125</f>
        <v>-3782339.9</v>
      </c>
      <c r="H124" s="217"/>
      <c r="I124" s="1">
        <f t="shared" si="5"/>
        <v>40440.970000000088</v>
      </c>
      <c r="J124" s="1">
        <f>D124-G124</f>
        <v>214748.79000000004</v>
      </c>
      <c r="K124" s="1">
        <f t="shared" si="6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3991</v>
      </c>
      <c r="B125" s="213" t="s">
        <v>832</v>
      </c>
      <c r="C125" s="283">
        <v>-2567</v>
      </c>
      <c r="D125" s="279"/>
      <c r="E125" s="274"/>
      <c r="F125" s="279">
        <v>-2345.7199999999998</v>
      </c>
      <c r="G125" s="279"/>
      <c r="H125" s="217"/>
      <c r="I125" s="1">
        <f t="shared" si="5"/>
        <v>-221.2800000000002</v>
      </c>
      <c r="J125" s="1"/>
      <c r="K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3.8" thickBot="1">
      <c r="A126" s="212">
        <v>3991</v>
      </c>
      <c r="B126" s="213" t="s">
        <v>832</v>
      </c>
      <c r="C126" s="275">
        <v>2283.38</v>
      </c>
      <c r="D126" s="276"/>
      <c r="E126" s="277"/>
      <c r="F126" s="275">
        <v>0</v>
      </c>
      <c r="G126" s="276"/>
      <c r="H126" s="278"/>
      <c r="I126" s="1"/>
      <c r="K126" s="1">
        <f t="shared" si="6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/>
      <c r="B127" s="213" t="s">
        <v>593</v>
      </c>
      <c r="C127" s="241">
        <f>SUM(C103:C126)</f>
        <v>-7649876.709999999</v>
      </c>
      <c r="D127" s="206"/>
      <c r="E127" s="214">
        <f>SUM(D107:D124)</f>
        <v>-7649876.71</v>
      </c>
      <c r="F127" s="241">
        <f>SUM(F103:F126)</f>
        <v>-7156208.5699999994</v>
      </c>
      <c r="G127" s="206"/>
      <c r="H127" s="214">
        <f>SUM(G107:G124)</f>
        <v>-7156208.5700000003</v>
      </c>
      <c r="I127" s="1"/>
      <c r="K127" s="1">
        <f t="shared" si="6"/>
        <v>-493668.13999999966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/>
      <c r="B128" s="213"/>
      <c r="C128" s="241" t="s">
        <v>374</v>
      </c>
      <c r="D128" s="206"/>
      <c r="E128" s="214"/>
      <c r="F128" s="241"/>
      <c r="G128" s="206"/>
      <c r="H128" s="214"/>
      <c r="I128" s="1"/>
      <c r="K128" s="1">
        <f t="shared" si="6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 ht="14.4">
      <c r="A129" s="215">
        <v>4000</v>
      </c>
      <c r="B129" s="216" t="s">
        <v>769</v>
      </c>
      <c r="C129" s="250">
        <v>0</v>
      </c>
      <c r="D129" s="206"/>
      <c r="E129" s="214"/>
      <c r="F129" s="250">
        <v>0</v>
      </c>
      <c r="G129" s="206"/>
      <c r="H129" s="214"/>
      <c r="I129" s="1">
        <f t="shared" ref="I129:I196" si="7">C129-F129</f>
        <v>0</v>
      </c>
      <c r="J129" s="1">
        <f t="shared" ref="J129:J196" si="8">D129-G129</f>
        <v>0</v>
      </c>
      <c r="K129" s="1">
        <f t="shared" ref="K129:K196" si="9">E129-H129</f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4110</v>
      </c>
      <c r="B130" s="213" t="s">
        <v>696</v>
      </c>
      <c r="C130" s="250">
        <v>298969.01</v>
      </c>
      <c r="D130" s="206"/>
      <c r="E130" s="214"/>
      <c r="F130" s="250">
        <v>188332.06</v>
      </c>
      <c r="G130" s="206"/>
      <c r="H130" s="214"/>
      <c r="I130" s="1">
        <f t="shared" si="7"/>
        <v>110636.95000000001</v>
      </c>
      <c r="J130" s="1">
        <f t="shared" si="8"/>
        <v>0</v>
      </c>
      <c r="K130" s="1">
        <f t="shared" si="9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4120</v>
      </c>
      <c r="B131" s="213" t="s">
        <v>697</v>
      </c>
      <c r="C131" s="250">
        <v>323956.26</v>
      </c>
      <c r="D131" s="206"/>
      <c r="E131" s="214"/>
      <c r="F131" s="250">
        <v>271969.28000000003</v>
      </c>
      <c r="G131" s="206"/>
      <c r="H131" s="214"/>
      <c r="I131" s="1">
        <f t="shared" si="7"/>
        <v>51986.979999999981</v>
      </c>
      <c r="J131" s="1">
        <f t="shared" si="8"/>
        <v>0</v>
      </c>
      <c r="K131" s="1">
        <f t="shared" si="9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4150</v>
      </c>
      <c r="B132" s="213" t="s">
        <v>698</v>
      </c>
      <c r="C132" s="250">
        <v>63361.34</v>
      </c>
      <c r="D132" s="206"/>
      <c r="E132" s="214"/>
      <c r="F132" s="250">
        <v>423189.81</v>
      </c>
      <c r="G132" s="206"/>
      <c r="H132" s="214"/>
      <c r="I132" s="1">
        <f t="shared" si="7"/>
        <v>-359828.47</v>
      </c>
      <c r="J132" s="1">
        <f t="shared" si="8"/>
        <v>0</v>
      </c>
      <c r="K132" s="1">
        <f t="shared" si="9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4160</v>
      </c>
      <c r="B133" s="213" t="s">
        <v>444</v>
      </c>
      <c r="C133" s="250">
        <v>3659</v>
      </c>
      <c r="D133" s="206"/>
      <c r="E133" s="214"/>
      <c r="F133" s="250">
        <v>0</v>
      </c>
      <c r="G133" s="206"/>
      <c r="H133" s="214"/>
      <c r="I133" s="1">
        <f t="shared" si="7"/>
        <v>3659</v>
      </c>
      <c r="J133" s="1"/>
      <c r="K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4200</v>
      </c>
      <c r="B134" s="213" t="s">
        <v>323</v>
      </c>
      <c r="C134" s="250">
        <v>914655.62</v>
      </c>
      <c r="D134" s="206"/>
      <c r="E134" s="214"/>
      <c r="F134" s="250">
        <v>995082.14</v>
      </c>
      <c r="G134" s="206"/>
      <c r="H134" s="214"/>
      <c r="I134" s="1">
        <f t="shared" si="7"/>
        <v>-80426.520000000019</v>
      </c>
      <c r="J134" s="1">
        <f t="shared" si="8"/>
        <v>0</v>
      </c>
      <c r="K134" s="1">
        <f t="shared" si="9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4300</v>
      </c>
      <c r="B135" s="213" t="s">
        <v>699</v>
      </c>
      <c r="C135" s="250">
        <v>16210.33</v>
      </c>
      <c r="D135" s="206"/>
      <c r="E135" s="214"/>
      <c r="F135" s="250">
        <v>7700.2</v>
      </c>
      <c r="G135" s="206"/>
      <c r="H135" s="214"/>
      <c r="I135" s="1">
        <f t="shared" si="7"/>
        <v>8510.130000000001</v>
      </c>
      <c r="J135" s="1">
        <f t="shared" si="8"/>
        <v>0</v>
      </c>
      <c r="K135" s="1">
        <f t="shared" si="9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4350</v>
      </c>
      <c r="B136" s="213" t="s">
        <v>833</v>
      </c>
      <c r="C136" s="250">
        <v>0</v>
      </c>
      <c r="D136" s="206"/>
      <c r="E136" s="214"/>
      <c r="F136" s="250">
        <v>1587</v>
      </c>
      <c r="G136" s="206"/>
      <c r="H136" s="214"/>
      <c r="I136" s="1">
        <f t="shared" si="7"/>
        <v>-1587</v>
      </c>
      <c r="J136" s="1">
        <f t="shared" si="8"/>
        <v>0</v>
      </c>
      <c r="K136" s="1">
        <f t="shared" si="9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4500</v>
      </c>
      <c r="B137" s="213" t="s">
        <v>700</v>
      </c>
      <c r="C137" s="250">
        <v>70947</v>
      </c>
      <c r="D137" s="206"/>
      <c r="E137" s="214"/>
      <c r="F137" s="250">
        <v>75853.5</v>
      </c>
      <c r="G137" s="206"/>
      <c r="H137" s="214"/>
      <c r="I137" s="1">
        <f t="shared" si="7"/>
        <v>-4906.5</v>
      </c>
      <c r="J137" s="1">
        <f t="shared" si="8"/>
        <v>0</v>
      </c>
      <c r="K137" s="1">
        <f t="shared" si="9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4510</v>
      </c>
      <c r="B138" s="213" t="s">
        <v>701</v>
      </c>
      <c r="C138" s="250">
        <v>166439.49</v>
      </c>
      <c r="D138" s="206"/>
      <c r="E138" s="214"/>
      <c r="F138" s="250">
        <v>106874.83</v>
      </c>
      <c r="G138" s="206"/>
      <c r="H138" s="214"/>
      <c r="I138" s="1">
        <f t="shared" si="7"/>
        <v>59564.659999999989</v>
      </c>
      <c r="J138" s="1">
        <f t="shared" si="8"/>
        <v>0</v>
      </c>
      <c r="K138" s="1">
        <f t="shared" si="9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4590</v>
      </c>
      <c r="B139" s="213" t="s">
        <v>435</v>
      </c>
      <c r="C139" s="250">
        <v>-34253.5</v>
      </c>
      <c r="D139" s="206"/>
      <c r="E139" s="214"/>
      <c r="F139" s="250">
        <v>-7425.63</v>
      </c>
      <c r="G139" s="206"/>
      <c r="H139" s="214"/>
      <c r="I139" s="1">
        <f t="shared" si="7"/>
        <v>-26827.87</v>
      </c>
      <c r="J139" s="1">
        <f t="shared" si="8"/>
        <v>0</v>
      </c>
      <c r="K139" s="1">
        <f t="shared" si="9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4610</v>
      </c>
      <c r="B140" s="213" t="s">
        <v>702</v>
      </c>
      <c r="C140" s="250">
        <v>135857.79</v>
      </c>
      <c r="D140" s="206"/>
      <c r="E140" s="214"/>
      <c r="F140" s="250">
        <v>166945.38</v>
      </c>
      <c r="G140" s="206"/>
      <c r="H140" s="214"/>
      <c r="I140" s="1">
        <f t="shared" si="7"/>
        <v>-31087.589999999997</v>
      </c>
      <c r="J140" s="1">
        <f t="shared" si="8"/>
        <v>0</v>
      </c>
      <c r="K140" s="1">
        <f t="shared" si="9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4700</v>
      </c>
      <c r="B141" s="213" t="s">
        <v>335</v>
      </c>
      <c r="C141" s="250">
        <v>546087.5</v>
      </c>
      <c r="D141" s="206"/>
      <c r="E141" s="214"/>
      <c r="F141" s="250">
        <v>541224.93999999994</v>
      </c>
      <c r="G141" s="206"/>
      <c r="H141" s="214"/>
      <c r="I141" s="1">
        <f t="shared" si="7"/>
        <v>4862.5600000000559</v>
      </c>
      <c r="J141" s="1">
        <f t="shared" si="8"/>
        <v>0</v>
      </c>
      <c r="K141" s="1">
        <f t="shared" si="9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4800</v>
      </c>
      <c r="B142" s="213" t="s">
        <v>703</v>
      </c>
      <c r="C142" s="250">
        <v>838920.74</v>
      </c>
      <c r="D142" s="206"/>
      <c r="E142" s="214"/>
      <c r="F142" s="250">
        <v>761399.68</v>
      </c>
      <c r="G142" s="206"/>
      <c r="H142" s="214"/>
      <c r="I142" s="1">
        <f t="shared" si="7"/>
        <v>77521.059999999939</v>
      </c>
      <c r="J142" s="1">
        <f t="shared" si="8"/>
        <v>0</v>
      </c>
      <c r="K142" s="1">
        <f t="shared" si="9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4.4">
      <c r="A143" s="215">
        <v>4900</v>
      </c>
      <c r="B143" s="216" t="s">
        <v>770</v>
      </c>
      <c r="C143" s="250">
        <v>2091</v>
      </c>
      <c r="D143" s="206"/>
      <c r="E143" s="214"/>
      <c r="F143" s="250">
        <v>1853.88</v>
      </c>
      <c r="G143" s="206"/>
      <c r="H143" s="214"/>
      <c r="I143" s="1">
        <f t="shared" si="7"/>
        <v>237.11999999999989</v>
      </c>
      <c r="J143" s="1">
        <f t="shared" si="8"/>
        <v>0</v>
      </c>
      <c r="K143" s="1">
        <f t="shared" si="9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4990</v>
      </c>
      <c r="B144" s="213" t="s">
        <v>704</v>
      </c>
      <c r="C144" s="250">
        <v>295234.63</v>
      </c>
      <c r="D144" s="206"/>
      <c r="E144" s="214"/>
      <c r="F144" s="250">
        <v>224422.9</v>
      </c>
      <c r="G144" s="206"/>
      <c r="H144" s="214"/>
      <c r="I144" s="1">
        <f t="shared" si="7"/>
        <v>70811.73000000001</v>
      </c>
      <c r="J144" s="1">
        <f t="shared" si="8"/>
        <v>0</v>
      </c>
      <c r="K144" s="1">
        <f t="shared" si="9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/>
      <c r="B145" s="213" t="s">
        <v>595</v>
      </c>
      <c r="C145" s="250">
        <f>SUM(C129:C144)</f>
        <v>3642136.21</v>
      </c>
      <c r="D145" s="234">
        <f>C145</f>
        <v>3642136.21</v>
      </c>
      <c r="E145" s="214"/>
      <c r="F145" s="250">
        <f>SUM(F129:F144)</f>
        <v>3759009.97</v>
      </c>
      <c r="G145" s="234">
        <f>F145</f>
        <v>3759009.97</v>
      </c>
      <c r="H145" s="214"/>
      <c r="I145" s="1">
        <f t="shared" si="7"/>
        <v>-116873.76000000024</v>
      </c>
      <c r="J145" s="1">
        <f t="shared" si="8"/>
        <v>-116873.76000000024</v>
      </c>
      <c r="K145" s="1">
        <f t="shared" si="9"/>
        <v>0</v>
      </c>
      <c r="L145" s="23">
        <f>3641136.21-3642136.21</f>
        <v>-1000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/>
      <c r="B146" s="213"/>
      <c r="C146" s="241" t="s">
        <v>374</v>
      </c>
      <c r="D146" s="206"/>
      <c r="E146" s="214"/>
      <c r="F146" s="241"/>
      <c r="G146" s="206"/>
      <c r="H146" s="214"/>
      <c r="I146" s="1">
        <v>0</v>
      </c>
      <c r="J146" s="1">
        <f t="shared" si="8"/>
        <v>0</v>
      </c>
      <c r="K146" s="1">
        <f t="shared" si="9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5000</v>
      </c>
      <c r="B147" s="213" t="s">
        <v>834</v>
      </c>
      <c r="C147" s="251">
        <v>54098.41</v>
      </c>
      <c r="D147" s="206"/>
      <c r="E147" s="214"/>
      <c r="F147" s="251">
        <v>-5000</v>
      </c>
      <c r="G147" s="206"/>
      <c r="H147" s="214"/>
      <c r="I147" s="1">
        <f t="shared" si="7"/>
        <v>59098.41</v>
      </c>
      <c r="J147" s="1">
        <f t="shared" si="8"/>
        <v>0</v>
      </c>
      <c r="K147" s="1">
        <f t="shared" si="9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5010</v>
      </c>
      <c r="B148" s="213" t="s">
        <v>596</v>
      </c>
      <c r="C148" s="251">
        <v>338435.59</v>
      </c>
      <c r="D148" s="206"/>
      <c r="E148" s="214"/>
      <c r="F148" s="251">
        <v>372087.55</v>
      </c>
      <c r="G148" s="206"/>
      <c r="H148" s="214"/>
      <c r="I148" s="1">
        <f t="shared" si="7"/>
        <v>-33651.959999999963</v>
      </c>
      <c r="J148" s="1">
        <f t="shared" si="8"/>
        <v>0</v>
      </c>
      <c r="K148" s="1">
        <f t="shared" si="9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5011</v>
      </c>
      <c r="B149" s="213" t="s">
        <v>597</v>
      </c>
      <c r="C149" s="251">
        <v>499664.5</v>
      </c>
      <c r="D149" s="206"/>
      <c r="E149" s="214"/>
      <c r="F149" s="251">
        <v>552175.75</v>
      </c>
      <c r="G149" s="206"/>
      <c r="H149" s="214"/>
      <c r="I149" s="1">
        <f t="shared" si="7"/>
        <v>-52511.25</v>
      </c>
      <c r="J149" s="1">
        <f t="shared" si="8"/>
        <v>0</v>
      </c>
      <c r="K149" s="1">
        <f t="shared" si="9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5020</v>
      </c>
      <c r="B150" s="213" t="s">
        <v>599</v>
      </c>
      <c r="C150" s="251">
        <v>0</v>
      </c>
      <c r="D150" s="206"/>
      <c r="E150" s="214"/>
      <c r="F150" s="251">
        <v>0</v>
      </c>
      <c r="G150" s="206"/>
      <c r="H150" s="214"/>
      <c r="I150" s="1">
        <f t="shared" si="7"/>
        <v>0</v>
      </c>
      <c r="J150" s="1">
        <f t="shared" si="8"/>
        <v>0</v>
      </c>
      <c r="K150" s="1">
        <f t="shared" si="9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5030</v>
      </c>
      <c r="B151" s="213" t="s">
        <v>866</v>
      </c>
      <c r="C151" s="251">
        <v>89186</v>
      </c>
      <c r="D151" s="206"/>
      <c r="E151" s="214"/>
      <c r="F151" s="251">
        <v>0</v>
      </c>
      <c r="G151" s="206"/>
      <c r="H151" s="214"/>
      <c r="I151" s="1">
        <f t="shared" si="7"/>
        <v>89186</v>
      </c>
      <c r="J151" s="1"/>
      <c r="K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 ht="14.4">
      <c r="A152" s="215">
        <v>5090</v>
      </c>
      <c r="B152" s="216" t="s">
        <v>771</v>
      </c>
      <c r="C152" s="251">
        <v>47104.09</v>
      </c>
      <c r="D152" s="206"/>
      <c r="E152" s="214"/>
      <c r="F152" s="251">
        <v>44650.51</v>
      </c>
      <c r="G152" s="206"/>
      <c r="H152" s="214"/>
      <c r="I152" s="1">
        <f t="shared" si="7"/>
        <v>2453.5799999999945</v>
      </c>
      <c r="J152" s="1">
        <f t="shared" si="8"/>
        <v>0</v>
      </c>
      <c r="K152" s="1">
        <f t="shared" si="9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4.4">
      <c r="A153" s="215">
        <v>5095</v>
      </c>
      <c r="B153" s="216" t="s">
        <v>867</v>
      </c>
      <c r="C153" s="251">
        <v>-89186</v>
      </c>
      <c r="D153" s="206"/>
      <c r="E153" s="214"/>
      <c r="F153" s="251">
        <v>0</v>
      </c>
      <c r="G153" s="206"/>
      <c r="H153" s="214"/>
      <c r="I153" s="1">
        <f t="shared" si="7"/>
        <v>-89186</v>
      </c>
      <c r="J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5250</v>
      </c>
      <c r="B154" s="213" t="s">
        <v>600</v>
      </c>
      <c r="C154" s="251">
        <v>8408</v>
      </c>
      <c r="D154" s="206"/>
      <c r="E154" s="214"/>
      <c r="F154" s="251">
        <v>8866</v>
      </c>
      <c r="G154" s="206"/>
      <c r="H154" s="214"/>
      <c r="I154" s="1">
        <f t="shared" si="7"/>
        <v>-458</v>
      </c>
      <c r="J154" s="1">
        <f t="shared" si="8"/>
        <v>0</v>
      </c>
      <c r="K154" s="1">
        <f t="shared" si="9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5270</v>
      </c>
      <c r="B155" s="213" t="s">
        <v>601</v>
      </c>
      <c r="C155" s="251">
        <v>4758</v>
      </c>
      <c r="D155" s="206" t="s">
        <v>374</v>
      </c>
      <c r="E155" s="214"/>
      <c r="F155" s="251">
        <v>4026</v>
      </c>
      <c r="G155" s="206"/>
      <c r="H155" s="214"/>
      <c r="I155" s="1">
        <f t="shared" si="7"/>
        <v>732</v>
      </c>
      <c r="J155" s="1">
        <v>0</v>
      </c>
      <c r="K155" s="1">
        <f t="shared" si="9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5290</v>
      </c>
      <c r="B156" s="213" t="s">
        <v>602</v>
      </c>
      <c r="C156" s="251">
        <v>-13166</v>
      </c>
      <c r="D156" s="206"/>
      <c r="E156" s="214"/>
      <c r="F156" s="251">
        <v>-12892</v>
      </c>
      <c r="G156" s="206"/>
      <c r="H156" s="214"/>
      <c r="I156" s="1">
        <f t="shared" si="7"/>
        <v>-274</v>
      </c>
      <c r="J156" s="1">
        <f t="shared" si="8"/>
        <v>0</v>
      </c>
      <c r="K156" s="1">
        <f t="shared" si="9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4">
      <c r="A157" s="215">
        <v>5310</v>
      </c>
      <c r="B157" s="216" t="s">
        <v>772</v>
      </c>
      <c r="C157" s="251">
        <v>785.6</v>
      </c>
      <c r="D157" s="206"/>
      <c r="E157" s="214"/>
      <c r="F157" s="251">
        <v>1282</v>
      </c>
      <c r="G157" s="206"/>
      <c r="H157" s="214"/>
      <c r="I157" s="1">
        <f t="shared" si="7"/>
        <v>-496.4</v>
      </c>
      <c r="J157" s="1">
        <f t="shared" si="8"/>
        <v>0</v>
      </c>
      <c r="K157" s="1">
        <f t="shared" si="9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5330</v>
      </c>
      <c r="B158" s="213" t="s">
        <v>705</v>
      </c>
      <c r="C158" s="251">
        <v>0</v>
      </c>
      <c r="D158" s="206"/>
      <c r="E158" s="214"/>
      <c r="F158" s="251">
        <v>1000</v>
      </c>
      <c r="G158" s="206"/>
      <c r="H158" s="214"/>
      <c r="I158" s="1">
        <f t="shared" si="7"/>
        <v>-1000</v>
      </c>
      <c r="J158" s="1">
        <f t="shared" si="8"/>
        <v>0</v>
      </c>
      <c r="K158" s="1">
        <f t="shared" si="9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5350</v>
      </c>
      <c r="B159" s="213" t="s">
        <v>603</v>
      </c>
      <c r="C159" s="251">
        <v>10547.82</v>
      </c>
      <c r="D159" s="206"/>
      <c r="E159" s="214"/>
      <c r="F159" s="251">
        <v>39596.589999999997</v>
      </c>
      <c r="G159" s="206"/>
      <c r="H159" s="214"/>
      <c r="I159" s="1">
        <f t="shared" si="7"/>
        <v>-29048.769999999997</v>
      </c>
      <c r="J159" s="1">
        <f t="shared" si="8"/>
        <v>0</v>
      </c>
      <c r="K159" s="1">
        <f t="shared" si="9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5400</v>
      </c>
      <c r="B160" s="213" t="s">
        <v>232</v>
      </c>
      <c r="C160" s="251">
        <v>140325.25</v>
      </c>
      <c r="D160" s="206"/>
      <c r="E160" s="214"/>
      <c r="F160" s="251">
        <v>136006.96</v>
      </c>
      <c r="G160" s="206"/>
      <c r="H160" s="214"/>
      <c r="I160" s="1">
        <f t="shared" si="7"/>
        <v>4318.2900000000081</v>
      </c>
      <c r="J160" s="1">
        <f t="shared" si="8"/>
        <v>0</v>
      </c>
      <c r="K160" s="1">
        <f t="shared" si="9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5401</v>
      </c>
      <c r="B161" s="213" t="s">
        <v>605</v>
      </c>
      <c r="C161" s="251">
        <v>6641.68</v>
      </c>
      <c r="D161" s="206"/>
      <c r="E161" s="214"/>
      <c r="F161" s="251">
        <v>2869.51</v>
      </c>
      <c r="G161" s="206"/>
      <c r="H161" s="214"/>
      <c r="I161" s="1">
        <f t="shared" si="7"/>
        <v>3772.17</v>
      </c>
      <c r="J161" s="1">
        <f t="shared" si="8"/>
        <v>0</v>
      </c>
      <c r="K161" s="1">
        <f t="shared" si="9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5800</v>
      </c>
      <c r="B162" s="213" t="s">
        <v>706</v>
      </c>
      <c r="C162" s="251">
        <v>0</v>
      </c>
      <c r="D162" s="206"/>
      <c r="E162" s="214"/>
      <c r="F162" s="251">
        <v>0</v>
      </c>
      <c r="G162" s="206"/>
      <c r="H162" s="214"/>
      <c r="I162" s="1">
        <f t="shared" si="7"/>
        <v>0</v>
      </c>
      <c r="J162" s="1">
        <f t="shared" si="8"/>
        <v>0</v>
      </c>
      <c r="K162" s="1">
        <f t="shared" si="9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5801</v>
      </c>
      <c r="B163" s="213" t="s">
        <v>707</v>
      </c>
      <c r="C163" s="251">
        <v>0</v>
      </c>
      <c r="D163" s="206"/>
      <c r="E163" s="214"/>
      <c r="F163" s="251">
        <v>0</v>
      </c>
      <c r="G163" s="206"/>
      <c r="H163" s="214"/>
      <c r="I163" s="1">
        <f t="shared" si="7"/>
        <v>0</v>
      </c>
      <c r="J163" s="1">
        <f t="shared" si="8"/>
        <v>0</v>
      </c>
      <c r="K163" s="1">
        <f t="shared" si="9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5802</v>
      </c>
      <c r="B164" s="213" t="s">
        <v>708</v>
      </c>
      <c r="C164" s="251">
        <v>0</v>
      </c>
      <c r="D164" s="206"/>
      <c r="E164" s="214"/>
      <c r="F164" s="251">
        <v>0</v>
      </c>
      <c r="G164" s="206"/>
      <c r="H164" s="214"/>
      <c r="I164" s="1">
        <f t="shared" si="7"/>
        <v>0</v>
      </c>
      <c r="J164" s="1">
        <f t="shared" si="8"/>
        <v>0</v>
      </c>
      <c r="K164" s="1">
        <f t="shared" si="9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5900</v>
      </c>
      <c r="B165" s="213" t="s">
        <v>835</v>
      </c>
      <c r="C165" s="251">
        <v>4411</v>
      </c>
      <c r="D165" s="206"/>
      <c r="E165" s="214"/>
      <c r="F165" s="251">
        <v>2138</v>
      </c>
      <c r="G165" s="206"/>
      <c r="H165" s="214"/>
      <c r="I165" s="1">
        <f t="shared" si="7"/>
        <v>2273</v>
      </c>
      <c r="J165" s="1">
        <f t="shared" si="8"/>
        <v>0</v>
      </c>
      <c r="K165" s="1">
        <f t="shared" si="9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5910</v>
      </c>
      <c r="B166" s="213" t="s">
        <v>836</v>
      </c>
      <c r="C166" s="251">
        <v>8204.23</v>
      </c>
      <c r="D166" s="206"/>
      <c r="E166" s="214"/>
      <c r="F166" s="251">
        <v>3547.28</v>
      </c>
      <c r="G166" s="206"/>
      <c r="H166" s="214"/>
      <c r="I166" s="1">
        <f t="shared" si="7"/>
        <v>4656.9499999999989</v>
      </c>
      <c r="J166" s="1">
        <f t="shared" si="8"/>
        <v>0</v>
      </c>
      <c r="K166" s="1">
        <f t="shared" si="9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5945</v>
      </c>
      <c r="B167" s="213" t="s">
        <v>607</v>
      </c>
      <c r="C167" s="251">
        <v>9170.1</v>
      </c>
      <c r="D167" s="206"/>
      <c r="E167" s="214"/>
      <c r="F167" s="251">
        <v>8360.5300000000007</v>
      </c>
      <c r="G167" s="206"/>
      <c r="H167" s="214"/>
      <c r="I167" s="1">
        <f t="shared" si="7"/>
        <v>809.56999999999971</v>
      </c>
      <c r="J167" s="1">
        <f t="shared" si="8"/>
        <v>0</v>
      </c>
      <c r="K167" s="1">
        <f t="shared" si="9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5990</v>
      </c>
      <c r="B168" s="213" t="s">
        <v>608</v>
      </c>
      <c r="C168" s="251">
        <v>45509</v>
      </c>
      <c r="D168" s="206"/>
      <c r="E168" s="214"/>
      <c r="F168" s="251">
        <v>10181.799999999999</v>
      </c>
      <c r="G168" s="226"/>
      <c r="H168" s="214"/>
      <c r="I168" s="1">
        <f t="shared" si="7"/>
        <v>35327.199999999997</v>
      </c>
      <c r="J168" s="1">
        <f t="shared" si="8"/>
        <v>0</v>
      </c>
      <c r="K168" s="1">
        <f t="shared" si="9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/>
      <c r="B169" s="213" t="s">
        <v>609</v>
      </c>
      <c r="C169" s="251">
        <f>SUM(C147:C168)</f>
        <v>1164897.2699999998</v>
      </c>
      <c r="D169" s="235">
        <f>C169</f>
        <v>1164897.2699999998</v>
      </c>
      <c r="E169" s="214"/>
      <c r="F169" s="251">
        <f>SUM(F147:F168)</f>
        <v>1168896.4800000002</v>
      </c>
      <c r="G169" s="235">
        <f>F169</f>
        <v>1168896.4800000002</v>
      </c>
      <c r="H169" s="214"/>
      <c r="I169" s="1">
        <f t="shared" si="7"/>
        <v>-3999.2100000004284</v>
      </c>
      <c r="J169" s="1">
        <f t="shared" si="8"/>
        <v>-3999.2100000004284</v>
      </c>
      <c r="K169" s="1">
        <f t="shared" si="9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/>
      <c r="B170" s="213"/>
      <c r="C170" s="241" t="s">
        <v>374</v>
      </c>
      <c r="D170" s="206"/>
      <c r="E170" s="214"/>
      <c r="F170" s="241"/>
      <c r="G170" s="206"/>
      <c r="H170" s="214"/>
      <c r="I170" s="1"/>
      <c r="J170" s="1">
        <f t="shared" si="8"/>
        <v>0</v>
      </c>
      <c r="K170" s="1">
        <f t="shared" si="9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6010</v>
      </c>
      <c r="B171" s="213" t="s">
        <v>247</v>
      </c>
      <c r="C171" s="252">
        <v>44843</v>
      </c>
      <c r="D171" s="236"/>
      <c r="E171" s="214"/>
      <c r="F171" s="252">
        <v>44843</v>
      </c>
      <c r="G171" s="236"/>
      <c r="H171" s="214"/>
      <c r="I171" s="1">
        <f t="shared" si="7"/>
        <v>0</v>
      </c>
      <c r="J171" s="1">
        <f t="shared" si="8"/>
        <v>0</v>
      </c>
      <c r="K171" s="1">
        <f t="shared" si="9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6015</v>
      </c>
      <c r="B172" s="213" t="s">
        <v>837</v>
      </c>
      <c r="C172" s="252">
        <v>20703</v>
      </c>
      <c r="D172" s="236">
        <f>SUM(C171:C172)</f>
        <v>65546</v>
      </c>
      <c r="E172" s="214"/>
      <c r="F172" s="252">
        <v>6901</v>
      </c>
      <c r="G172" s="236">
        <f>SUM(F171:F172)</f>
        <v>51744</v>
      </c>
      <c r="H172" s="214"/>
      <c r="I172" s="1">
        <f t="shared" si="7"/>
        <v>13802</v>
      </c>
      <c r="J172" s="1">
        <f t="shared" si="8"/>
        <v>13802</v>
      </c>
      <c r="K172" s="1">
        <f t="shared" si="9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6100</v>
      </c>
      <c r="B173" s="213" t="s">
        <v>838</v>
      </c>
      <c r="C173" s="246">
        <v>0</v>
      </c>
      <c r="D173" s="230"/>
      <c r="E173" s="214"/>
      <c r="F173" s="246">
        <v>169.8</v>
      </c>
      <c r="G173" s="230"/>
      <c r="H173" s="214"/>
      <c r="I173" s="1">
        <f t="shared" si="7"/>
        <v>-169.8</v>
      </c>
      <c r="J173" s="1">
        <f t="shared" si="8"/>
        <v>0</v>
      </c>
      <c r="K173" s="1">
        <f t="shared" si="9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6110</v>
      </c>
      <c r="B174" s="213" t="s">
        <v>610</v>
      </c>
      <c r="C174" s="246">
        <v>0</v>
      </c>
      <c r="D174" s="206"/>
      <c r="E174" s="214"/>
      <c r="F174" s="246">
        <v>5476.74</v>
      </c>
      <c r="G174" s="206"/>
      <c r="H174" s="214"/>
      <c r="I174" s="1">
        <f t="shared" si="7"/>
        <v>-5476.74</v>
      </c>
      <c r="J174" s="1">
        <f t="shared" si="8"/>
        <v>0</v>
      </c>
      <c r="K174" s="1">
        <f t="shared" si="9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4.4">
      <c r="A175" s="215">
        <v>6300</v>
      </c>
      <c r="B175" s="216" t="s">
        <v>773</v>
      </c>
      <c r="C175" s="246">
        <v>34230</v>
      </c>
      <c r="D175" s="206"/>
      <c r="E175" s="214"/>
      <c r="F175" s="246">
        <v>24653</v>
      </c>
      <c r="G175" s="206"/>
      <c r="H175" s="214"/>
      <c r="I175" s="1">
        <f t="shared" si="7"/>
        <v>9577</v>
      </c>
      <c r="J175" s="1">
        <f t="shared" si="8"/>
        <v>0</v>
      </c>
      <c r="K175" s="1">
        <f t="shared" si="9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6320</v>
      </c>
      <c r="B176" s="213" t="s">
        <v>611</v>
      </c>
      <c r="C176" s="246">
        <v>48159.82</v>
      </c>
      <c r="D176" s="206"/>
      <c r="E176" s="214"/>
      <c r="F176" s="246">
        <v>48366.51</v>
      </c>
      <c r="G176" s="206"/>
      <c r="H176" s="214"/>
      <c r="I176" s="1">
        <f t="shared" si="7"/>
        <v>-206.69000000000233</v>
      </c>
      <c r="J176" s="1">
        <f t="shared" si="8"/>
        <v>0</v>
      </c>
      <c r="K176" s="1">
        <f t="shared" si="9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6340</v>
      </c>
      <c r="B177" s="213" t="s">
        <v>253</v>
      </c>
      <c r="C177" s="246">
        <v>29398.15</v>
      </c>
      <c r="D177" s="206"/>
      <c r="E177" s="214"/>
      <c r="F177" s="246">
        <v>45898.07</v>
      </c>
      <c r="G177" s="206"/>
      <c r="H177" s="214"/>
      <c r="I177" s="1">
        <f t="shared" si="7"/>
        <v>-16499.919999999998</v>
      </c>
      <c r="J177" s="1">
        <f t="shared" si="8"/>
        <v>0</v>
      </c>
      <c r="K177" s="1">
        <f t="shared" si="9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6360</v>
      </c>
      <c r="B178" s="213" t="s">
        <v>255</v>
      </c>
      <c r="C178" s="246">
        <v>0</v>
      </c>
      <c r="D178" s="206"/>
      <c r="E178" s="214"/>
      <c r="F178" s="246">
        <v>3600</v>
      </c>
      <c r="G178" s="206"/>
      <c r="H178" s="214"/>
      <c r="I178" s="1">
        <f t="shared" si="7"/>
        <v>-3600</v>
      </c>
      <c r="J178" s="1">
        <f t="shared" si="8"/>
        <v>0</v>
      </c>
      <c r="K178" s="1">
        <f t="shared" si="9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6390</v>
      </c>
      <c r="B179" s="213" t="s">
        <v>612</v>
      </c>
      <c r="C179" s="246">
        <v>0</v>
      </c>
      <c r="D179" s="206"/>
      <c r="E179" s="214"/>
      <c r="F179" s="246">
        <v>0</v>
      </c>
      <c r="G179" s="206"/>
      <c r="H179" s="214"/>
      <c r="I179" s="1">
        <f t="shared" si="7"/>
        <v>0</v>
      </c>
      <c r="J179" s="1">
        <f t="shared" si="8"/>
        <v>0</v>
      </c>
      <c r="K179" s="1">
        <f t="shared" si="9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6420</v>
      </c>
      <c r="B180" s="213" t="s">
        <v>614</v>
      </c>
      <c r="C180" s="246">
        <v>600</v>
      </c>
      <c r="D180" s="206"/>
      <c r="E180" s="214"/>
      <c r="F180" s="246">
        <v>0</v>
      </c>
      <c r="G180" s="206"/>
      <c r="H180" s="214"/>
      <c r="I180" s="1">
        <f t="shared" si="7"/>
        <v>600</v>
      </c>
      <c r="J180" s="1"/>
      <c r="K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4.4">
      <c r="A181" s="215">
        <v>6440</v>
      </c>
      <c r="B181" s="216" t="s">
        <v>774</v>
      </c>
      <c r="C181" s="246">
        <v>68200.37</v>
      </c>
      <c r="D181" s="206"/>
      <c r="E181" s="214"/>
      <c r="F181" s="246">
        <v>65359.31</v>
      </c>
      <c r="G181" s="206"/>
      <c r="H181" s="214"/>
      <c r="I181" s="1">
        <f t="shared" si="7"/>
        <v>2841.0599999999977</v>
      </c>
      <c r="J181" s="1">
        <f t="shared" si="8"/>
        <v>0</v>
      </c>
      <c r="K181" s="1">
        <f t="shared" si="9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 ht="14.4">
      <c r="A182" s="215">
        <v>6490</v>
      </c>
      <c r="B182" s="216" t="s">
        <v>775</v>
      </c>
      <c r="C182" s="246">
        <v>13130</v>
      </c>
      <c r="D182" s="206"/>
      <c r="E182" s="214"/>
      <c r="F182" s="246">
        <v>1100</v>
      </c>
      <c r="G182" s="206"/>
      <c r="H182" s="214"/>
      <c r="I182" s="1">
        <f t="shared" si="7"/>
        <v>12030</v>
      </c>
      <c r="J182" s="1">
        <f t="shared" si="8"/>
        <v>0</v>
      </c>
      <c r="K182" s="1">
        <f t="shared" si="9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6540</v>
      </c>
      <c r="B183" s="213" t="s">
        <v>14</v>
      </c>
      <c r="C183" s="246">
        <v>48199.71</v>
      </c>
      <c r="D183" s="206"/>
      <c r="E183" s="214"/>
      <c r="F183" s="246">
        <v>42272.77</v>
      </c>
      <c r="G183" s="206"/>
      <c r="H183" s="214"/>
      <c r="I183" s="1">
        <f t="shared" si="7"/>
        <v>5926.9400000000023</v>
      </c>
      <c r="J183" s="1">
        <f t="shared" si="8"/>
        <v>0</v>
      </c>
      <c r="K183" s="1">
        <f t="shared" si="9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6550</v>
      </c>
      <c r="B184" s="213" t="s">
        <v>616</v>
      </c>
      <c r="C184" s="246">
        <v>51113.38</v>
      </c>
      <c r="D184" s="206"/>
      <c r="E184" s="214"/>
      <c r="F184" s="246">
        <v>31644.39</v>
      </c>
      <c r="G184" s="206"/>
      <c r="H184" s="214"/>
      <c r="I184" s="1">
        <f t="shared" si="7"/>
        <v>19468.989999999998</v>
      </c>
      <c r="J184" s="1">
        <f t="shared" si="8"/>
        <v>0</v>
      </c>
      <c r="K184" s="1">
        <f t="shared" si="9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 ht="14.4">
      <c r="A185" s="215">
        <v>6570</v>
      </c>
      <c r="B185" s="216" t="s">
        <v>776</v>
      </c>
      <c r="C185" s="246" t="s">
        <v>868</v>
      </c>
      <c r="D185" s="206"/>
      <c r="E185" s="214"/>
      <c r="F185" s="246">
        <v>1536</v>
      </c>
      <c r="G185" s="206"/>
      <c r="H185" s="214"/>
      <c r="I185" s="1" t="e">
        <f t="shared" si="7"/>
        <v>#VALUE!</v>
      </c>
      <c r="J185" s="1">
        <f t="shared" si="8"/>
        <v>0</v>
      </c>
      <c r="K185" s="1">
        <f t="shared" si="9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4.4">
      <c r="A186" s="215">
        <v>6590</v>
      </c>
      <c r="B186" s="216" t="s">
        <v>777</v>
      </c>
      <c r="C186" s="246">
        <v>0</v>
      </c>
      <c r="D186" s="206"/>
      <c r="E186" s="214"/>
      <c r="F186" s="246">
        <v>0</v>
      </c>
      <c r="G186" s="206"/>
      <c r="H186" s="214"/>
      <c r="I186" s="1">
        <f t="shared" si="7"/>
        <v>0</v>
      </c>
      <c r="J186" s="1">
        <f t="shared" si="8"/>
        <v>0</v>
      </c>
      <c r="K186" s="1">
        <f t="shared" si="9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4.4">
      <c r="A187" s="215">
        <v>6600</v>
      </c>
      <c r="B187" s="216" t="s">
        <v>617</v>
      </c>
      <c r="C187" s="246">
        <v>42977.09</v>
      </c>
      <c r="D187" s="206"/>
      <c r="E187" s="214"/>
      <c r="F187" s="246">
        <v>35145</v>
      </c>
      <c r="G187" s="206"/>
      <c r="H187" s="214"/>
      <c r="I187" s="1">
        <f t="shared" si="7"/>
        <v>7832.0899999999965</v>
      </c>
      <c r="J187" s="1">
        <f t="shared" si="8"/>
        <v>0</v>
      </c>
      <c r="K187" s="1">
        <f t="shared" si="9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6620</v>
      </c>
      <c r="B188" s="213" t="s">
        <v>618</v>
      </c>
      <c r="C188" s="246">
        <v>87088.1</v>
      </c>
      <c r="D188" s="206"/>
      <c r="E188" s="214"/>
      <c r="F188" s="246">
        <v>21666.75</v>
      </c>
      <c r="G188" s="206"/>
      <c r="H188" s="214"/>
      <c r="I188" s="1">
        <f t="shared" si="7"/>
        <v>65421.350000000006</v>
      </c>
      <c r="J188" s="1">
        <f t="shared" si="8"/>
        <v>0</v>
      </c>
      <c r="K188" s="1">
        <f t="shared" si="9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6700</v>
      </c>
      <c r="B189" s="213" t="s">
        <v>619</v>
      </c>
      <c r="C189" s="246">
        <v>78062.5</v>
      </c>
      <c r="D189" s="206"/>
      <c r="E189" s="214"/>
      <c r="F189" s="246">
        <v>95006.25</v>
      </c>
      <c r="G189" s="206"/>
      <c r="H189" s="214"/>
      <c r="I189" s="1">
        <f t="shared" si="7"/>
        <v>-16943.75</v>
      </c>
      <c r="J189" s="1">
        <f t="shared" si="8"/>
        <v>0</v>
      </c>
      <c r="K189" s="1">
        <f t="shared" si="9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6712</v>
      </c>
      <c r="B190" s="213" t="s">
        <v>620</v>
      </c>
      <c r="C190" s="246">
        <v>471401</v>
      </c>
      <c r="D190" s="206"/>
      <c r="E190" s="214"/>
      <c r="F190" s="246">
        <v>495748</v>
      </c>
      <c r="G190" s="206"/>
      <c r="H190" s="214"/>
      <c r="I190" s="1">
        <f t="shared" si="7"/>
        <v>-24347</v>
      </c>
      <c r="J190" s="1">
        <f t="shared" si="8"/>
        <v>0</v>
      </c>
      <c r="K190" s="1">
        <f t="shared" si="9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6730</v>
      </c>
      <c r="B191" s="213" t="s">
        <v>279</v>
      </c>
      <c r="C191" s="246">
        <v>99248.3</v>
      </c>
      <c r="D191" s="206"/>
      <c r="E191" s="214"/>
      <c r="F191" s="246">
        <v>201159.98</v>
      </c>
      <c r="G191" s="206"/>
      <c r="H191" s="214"/>
      <c r="I191" s="1">
        <f t="shared" si="7"/>
        <v>-101911.68000000001</v>
      </c>
      <c r="J191" s="1">
        <f t="shared" si="8"/>
        <v>0</v>
      </c>
      <c r="K191" s="1">
        <f t="shared" si="9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6790</v>
      </c>
      <c r="B192" s="213" t="s">
        <v>621</v>
      </c>
      <c r="C192" s="246">
        <v>0</v>
      </c>
      <c r="D192" s="206"/>
      <c r="E192" s="214"/>
      <c r="F192" s="246">
        <v>11400</v>
      </c>
      <c r="G192" s="206"/>
      <c r="H192" s="214"/>
      <c r="I192" s="1">
        <f t="shared" si="7"/>
        <v>-11400</v>
      </c>
      <c r="J192" s="1">
        <f t="shared" si="8"/>
        <v>0</v>
      </c>
      <c r="K192" s="1">
        <f t="shared" si="9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6800</v>
      </c>
      <c r="B193" s="213" t="s">
        <v>287</v>
      </c>
      <c r="C193" s="246">
        <v>2247.9</v>
      </c>
      <c r="D193" s="206"/>
      <c r="E193" s="214"/>
      <c r="F193" s="246">
        <v>6707.3</v>
      </c>
      <c r="G193" s="206"/>
      <c r="H193" s="214"/>
      <c r="I193" s="1">
        <f t="shared" si="7"/>
        <v>-4459.3999999999996</v>
      </c>
      <c r="J193" s="1">
        <f t="shared" si="8"/>
        <v>0</v>
      </c>
      <c r="K193" s="1">
        <f t="shared" si="9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6810</v>
      </c>
      <c r="B194" s="213" t="s">
        <v>622</v>
      </c>
      <c r="C194" s="246">
        <v>4974</v>
      </c>
      <c r="D194" s="206"/>
      <c r="E194" s="214"/>
      <c r="F194" s="246">
        <v>16675</v>
      </c>
      <c r="G194" s="206"/>
      <c r="H194" s="214"/>
      <c r="I194" s="1">
        <f t="shared" si="7"/>
        <v>-11701</v>
      </c>
      <c r="J194" s="1">
        <f t="shared" si="8"/>
        <v>0</v>
      </c>
      <c r="K194" s="1">
        <f t="shared" si="9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6811</v>
      </c>
      <c r="B195" s="213" t="s">
        <v>623</v>
      </c>
      <c r="C195" s="246">
        <v>64593.64</v>
      </c>
      <c r="D195" s="206"/>
      <c r="E195" s="214"/>
      <c r="F195" s="246">
        <v>46205.91</v>
      </c>
      <c r="G195" s="206"/>
      <c r="H195" s="214"/>
      <c r="I195" s="1">
        <f t="shared" si="7"/>
        <v>18387.729999999996</v>
      </c>
      <c r="J195" s="1">
        <f t="shared" si="8"/>
        <v>0</v>
      </c>
      <c r="K195" s="1">
        <f t="shared" si="9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6820</v>
      </c>
      <c r="B196" s="213" t="s">
        <v>624</v>
      </c>
      <c r="C196" s="246">
        <v>23641.1</v>
      </c>
      <c r="D196" s="206"/>
      <c r="E196" s="214"/>
      <c r="F196" s="246">
        <v>28748.9</v>
      </c>
      <c r="G196" s="206"/>
      <c r="H196" s="214"/>
      <c r="I196" s="1">
        <f t="shared" si="7"/>
        <v>-5107.8000000000029</v>
      </c>
      <c r="J196" s="1">
        <f t="shared" si="8"/>
        <v>0</v>
      </c>
      <c r="K196" s="1">
        <f t="shared" si="9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6840</v>
      </c>
      <c r="B197" s="213" t="s">
        <v>625</v>
      </c>
      <c r="C197" s="246">
        <v>500</v>
      </c>
      <c r="D197" s="206"/>
      <c r="E197" s="214"/>
      <c r="F197" s="246">
        <v>999</v>
      </c>
      <c r="G197" s="206"/>
      <c r="H197" s="214"/>
      <c r="I197" s="1">
        <f t="shared" ref="I197:K238" si="10">C197-F197</f>
        <v>-499</v>
      </c>
      <c r="J197" s="1">
        <f t="shared" si="10"/>
        <v>0</v>
      </c>
      <c r="K197" s="1">
        <f t="shared" si="10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6860</v>
      </c>
      <c r="B198" s="213" t="s">
        <v>626</v>
      </c>
      <c r="C198" s="246">
        <v>102994</v>
      </c>
      <c r="D198" s="206"/>
      <c r="E198" s="214"/>
      <c r="F198" s="246">
        <v>90660.9</v>
      </c>
      <c r="G198" s="206"/>
      <c r="H198" s="214"/>
      <c r="I198" s="1">
        <f t="shared" si="10"/>
        <v>12333.100000000006</v>
      </c>
      <c r="J198" s="1">
        <f t="shared" si="10"/>
        <v>0</v>
      </c>
      <c r="K198" s="1">
        <f t="shared" si="10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6900</v>
      </c>
      <c r="B199" s="213" t="s">
        <v>297</v>
      </c>
      <c r="C199" s="246">
        <v>3504.66</v>
      </c>
      <c r="D199" s="206"/>
      <c r="E199" s="214"/>
      <c r="F199" s="246">
        <v>7240.97</v>
      </c>
      <c r="G199" s="206"/>
      <c r="H199" s="214"/>
      <c r="I199" s="1">
        <f t="shared" si="10"/>
        <v>-3736.3100000000004</v>
      </c>
      <c r="J199" s="1">
        <f t="shared" si="10"/>
        <v>0</v>
      </c>
      <c r="K199" s="1">
        <f t="shared" si="10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6940</v>
      </c>
      <c r="B200" s="213" t="s">
        <v>299</v>
      </c>
      <c r="C200" s="246">
        <v>414</v>
      </c>
      <c r="D200" s="206"/>
      <c r="E200" s="214"/>
      <c r="F200" s="246">
        <v>1975.4</v>
      </c>
      <c r="G200" s="206"/>
      <c r="H200" s="214"/>
      <c r="I200" s="1">
        <f t="shared" si="10"/>
        <v>-1561.4</v>
      </c>
      <c r="J200" s="1">
        <f t="shared" si="10"/>
        <v>0</v>
      </c>
      <c r="K200" s="1">
        <f t="shared" si="10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4.4">
      <c r="A201" s="215">
        <v>7000</v>
      </c>
      <c r="B201" s="216" t="s">
        <v>778</v>
      </c>
      <c r="C201" s="246">
        <v>518.47</v>
      </c>
      <c r="D201" s="206"/>
      <c r="E201" s="214"/>
      <c r="F201" s="246">
        <v>0</v>
      </c>
      <c r="G201" s="206"/>
      <c r="H201" s="214"/>
      <c r="I201" s="1">
        <f t="shared" si="10"/>
        <v>518.47</v>
      </c>
      <c r="J201" s="1">
        <f t="shared" si="10"/>
        <v>0</v>
      </c>
      <c r="K201" s="1">
        <f t="shared" si="10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7100</v>
      </c>
      <c r="B202" s="213" t="s">
        <v>627</v>
      </c>
      <c r="C202" s="246">
        <v>43052.29</v>
      </c>
      <c r="D202" s="206"/>
      <c r="E202" s="214"/>
      <c r="F202" s="246">
        <v>38492.300000000003</v>
      </c>
      <c r="G202" s="206"/>
      <c r="H202" s="214"/>
      <c r="I202" s="1">
        <f t="shared" si="10"/>
        <v>4559.989999999998</v>
      </c>
      <c r="J202" s="1">
        <f t="shared" si="10"/>
        <v>0</v>
      </c>
      <c r="K202" s="1">
        <f t="shared" si="10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 ht="14.4">
      <c r="A203" s="215">
        <v>7101</v>
      </c>
      <c r="B203" s="216" t="s">
        <v>779</v>
      </c>
      <c r="C203" s="246">
        <v>3238.5</v>
      </c>
      <c r="D203" s="206"/>
      <c r="E203" s="214"/>
      <c r="F203" s="253">
        <v>1884.6</v>
      </c>
      <c r="G203" s="206"/>
      <c r="H203" s="214"/>
      <c r="I203" s="1">
        <f t="shared" si="10"/>
        <v>1353.9</v>
      </c>
      <c r="J203" s="1">
        <f t="shared" si="10"/>
        <v>0</v>
      </c>
      <c r="K203" s="1">
        <f t="shared" si="10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7110</v>
      </c>
      <c r="B204" s="213" t="s">
        <v>309</v>
      </c>
      <c r="C204" s="246">
        <v>0</v>
      </c>
      <c r="D204" s="206"/>
      <c r="E204" s="214"/>
      <c r="F204" s="246">
        <v>0</v>
      </c>
      <c r="G204" s="206"/>
      <c r="H204" s="214" t="s">
        <v>374</v>
      </c>
      <c r="I204" s="1">
        <f t="shared" si="10"/>
        <v>0</v>
      </c>
      <c r="J204" s="1">
        <f t="shared" si="10"/>
        <v>0</v>
      </c>
      <c r="K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7140</v>
      </c>
      <c r="B205" s="213" t="s">
        <v>709</v>
      </c>
      <c r="C205" s="246">
        <v>95208.77</v>
      </c>
      <c r="D205" s="206"/>
      <c r="E205" s="214"/>
      <c r="F205" s="246">
        <v>61094.83</v>
      </c>
      <c r="G205" s="206"/>
      <c r="H205" s="214"/>
      <c r="I205" s="1">
        <f t="shared" si="10"/>
        <v>34113.94</v>
      </c>
      <c r="J205" s="1">
        <f t="shared" si="10"/>
        <v>0</v>
      </c>
      <c r="K205" s="1">
        <f t="shared" si="10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7150</v>
      </c>
      <c r="B206" s="213" t="s">
        <v>710</v>
      </c>
      <c r="C206" s="246">
        <v>5519</v>
      </c>
      <c r="D206" s="206"/>
      <c r="E206" s="214"/>
      <c r="F206" s="246">
        <v>9005</v>
      </c>
      <c r="G206" s="206"/>
      <c r="H206" s="214"/>
      <c r="I206" s="1">
        <f t="shared" si="10"/>
        <v>-3486</v>
      </c>
      <c r="J206" s="1">
        <f t="shared" si="10"/>
        <v>0</v>
      </c>
      <c r="K206" s="1">
        <f t="shared" si="10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7155</v>
      </c>
      <c r="B207" s="213" t="s">
        <v>869</v>
      </c>
      <c r="C207" s="246">
        <v>690</v>
      </c>
      <c r="D207" s="206"/>
      <c r="E207" s="214"/>
      <c r="F207" s="246">
        <v>0</v>
      </c>
      <c r="G207" s="206"/>
      <c r="H207" s="214"/>
      <c r="I207" s="1">
        <f t="shared" si="10"/>
        <v>690</v>
      </c>
      <c r="J207" s="1"/>
      <c r="K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7160</v>
      </c>
      <c r="B208" s="213" t="s">
        <v>311</v>
      </c>
      <c r="C208" s="246">
        <v>0</v>
      </c>
      <c r="D208" s="206"/>
      <c r="E208" s="214"/>
      <c r="F208" s="246">
        <v>0</v>
      </c>
      <c r="G208" s="206"/>
      <c r="H208" s="214"/>
      <c r="I208" s="1">
        <f t="shared" si="10"/>
        <v>0</v>
      </c>
      <c r="J208" s="1">
        <f t="shared" si="10"/>
        <v>0</v>
      </c>
      <c r="K208" s="1">
        <f t="shared" si="10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7170</v>
      </c>
      <c r="B209" s="213" t="s">
        <v>313</v>
      </c>
      <c r="C209" s="246">
        <v>0</v>
      </c>
      <c r="D209" s="206"/>
      <c r="E209" s="214"/>
      <c r="F209" s="246">
        <v>0</v>
      </c>
      <c r="G209" s="206"/>
      <c r="H209" s="214"/>
      <c r="I209" s="1">
        <f t="shared" si="10"/>
        <v>0</v>
      </c>
      <c r="J209" s="1">
        <f t="shared" si="10"/>
        <v>0</v>
      </c>
      <c r="K209" s="1">
        <f t="shared" si="10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7180</v>
      </c>
      <c r="B210" s="213" t="s">
        <v>315</v>
      </c>
      <c r="C210" s="246">
        <v>0</v>
      </c>
      <c r="D210" s="206"/>
      <c r="E210" s="214"/>
      <c r="F210" s="246">
        <v>0</v>
      </c>
      <c r="G210" s="206"/>
      <c r="H210" s="214"/>
      <c r="I210" s="1">
        <f t="shared" si="10"/>
        <v>0</v>
      </c>
      <c r="J210" s="1">
        <f t="shared" si="10"/>
        <v>0</v>
      </c>
      <c r="K210" s="1">
        <f t="shared" si="10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7300</v>
      </c>
      <c r="B211" s="213" t="s">
        <v>711</v>
      </c>
      <c r="C211" s="246">
        <v>0</v>
      </c>
      <c r="D211" s="206"/>
      <c r="E211" s="214"/>
      <c r="F211" s="246">
        <v>117</v>
      </c>
      <c r="G211" s="206"/>
      <c r="H211" s="214"/>
      <c r="I211" s="1">
        <f t="shared" si="10"/>
        <v>-117</v>
      </c>
      <c r="J211" s="1">
        <f t="shared" si="10"/>
        <v>0</v>
      </c>
      <c r="K211" s="1">
        <f t="shared" si="10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7320</v>
      </c>
      <c r="B212" s="213" t="s">
        <v>629</v>
      </c>
      <c r="C212" s="246">
        <v>26439.08</v>
      </c>
      <c r="D212" s="206"/>
      <c r="E212" s="214"/>
      <c r="F212" s="246">
        <v>38796.980000000003</v>
      </c>
      <c r="G212" s="206"/>
      <c r="H212" s="214"/>
      <c r="I212" s="1">
        <f t="shared" si="10"/>
        <v>-12357.900000000001</v>
      </c>
      <c r="J212" s="1">
        <f t="shared" si="10"/>
        <v>0</v>
      </c>
      <c r="K212" s="1">
        <f t="shared" si="10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7400</v>
      </c>
      <c r="B213" s="213" t="s">
        <v>712</v>
      </c>
      <c r="C213" s="246">
        <v>0</v>
      </c>
      <c r="D213" s="206"/>
      <c r="E213" s="214"/>
      <c r="F213" s="246">
        <v>710</v>
      </c>
      <c r="G213" s="206"/>
      <c r="H213" s="214"/>
      <c r="I213" s="1">
        <f t="shared" si="10"/>
        <v>-710</v>
      </c>
      <c r="J213" s="1">
        <f t="shared" si="10"/>
        <v>0</v>
      </c>
      <c r="K213" s="1">
        <f t="shared" si="10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7410</v>
      </c>
      <c r="B214" s="213" t="s">
        <v>323</v>
      </c>
      <c r="C214" s="246">
        <v>0</v>
      </c>
      <c r="D214" s="206"/>
      <c r="E214" s="214"/>
      <c r="F214" s="246">
        <v>2750</v>
      </c>
      <c r="G214" s="206"/>
      <c r="H214" s="214"/>
      <c r="I214" s="1">
        <f t="shared" si="10"/>
        <v>-2750</v>
      </c>
      <c r="J214" s="1">
        <f t="shared" si="10"/>
        <v>0</v>
      </c>
      <c r="K214" s="1">
        <f t="shared" si="10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7420</v>
      </c>
      <c r="B215" s="213" t="s">
        <v>632</v>
      </c>
      <c r="C215" s="246">
        <v>270.39999999999998</v>
      </c>
      <c r="D215" s="206"/>
      <c r="E215" s="214"/>
      <c r="F215" s="246">
        <v>7861.55</v>
      </c>
      <c r="G215" s="206"/>
      <c r="H215" s="214"/>
      <c r="I215" s="1">
        <f t="shared" si="10"/>
        <v>-7591.1500000000005</v>
      </c>
      <c r="J215" s="1">
        <f t="shared" si="10"/>
        <v>0</v>
      </c>
      <c r="K215" s="1">
        <f t="shared" si="10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7430</v>
      </c>
      <c r="B216" s="213" t="s">
        <v>633</v>
      </c>
      <c r="C216" s="246">
        <v>0</v>
      </c>
      <c r="D216" s="206"/>
      <c r="E216" s="214"/>
      <c r="F216" s="246">
        <v>446</v>
      </c>
      <c r="G216" s="206"/>
      <c r="H216" s="214"/>
      <c r="I216" s="1">
        <f t="shared" si="10"/>
        <v>-446</v>
      </c>
      <c r="J216" s="1">
        <f t="shared" si="10"/>
        <v>0</v>
      </c>
      <c r="K216" s="1">
        <f t="shared" si="10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7500</v>
      </c>
      <c r="B217" s="213" t="s">
        <v>634</v>
      </c>
      <c r="C217" s="246">
        <v>66071</v>
      </c>
      <c r="D217" s="206"/>
      <c r="E217" s="214"/>
      <c r="F217" s="246">
        <v>64184</v>
      </c>
      <c r="G217" s="206"/>
      <c r="H217" s="214"/>
      <c r="I217" s="1">
        <f t="shared" si="10"/>
        <v>1887</v>
      </c>
      <c r="J217" s="1">
        <f t="shared" si="10"/>
        <v>0</v>
      </c>
      <c r="K217" s="1">
        <f t="shared" si="10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7510</v>
      </c>
      <c r="B218" s="213" t="s">
        <v>333</v>
      </c>
      <c r="C218" s="246">
        <v>64214</v>
      </c>
      <c r="D218" s="206"/>
      <c r="E218" s="214"/>
      <c r="F218" s="246">
        <v>78028</v>
      </c>
      <c r="G218" s="206"/>
      <c r="H218" s="214"/>
      <c r="I218" s="1">
        <f t="shared" si="10"/>
        <v>-13814</v>
      </c>
      <c r="J218" s="1">
        <f t="shared" si="10"/>
        <v>0</v>
      </c>
      <c r="K218" s="1">
        <f t="shared" si="10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7700</v>
      </c>
      <c r="B219" s="213" t="s">
        <v>635</v>
      </c>
      <c r="C219" s="246">
        <v>37181.1</v>
      </c>
      <c r="D219" s="206"/>
      <c r="E219" s="214"/>
      <c r="F219" s="246">
        <v>29255.65</v>
      </c>
      <c r="G219" s="206"/>
      <c r="H219" s="214"/>
      <c r="I219" s="1">
        <f t="shared" si="10"/>
        <v>7925.4499999999971</v>
      </c>
      <c r="J219" s="1">
        <f t="shared" si="10"/>
        <v>0</v>
      </c>
      <c r="K219" s="1">
        <f t="shared" si="10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7720</v>
      </c>
      <c r="B220" s="213" t="s">
        <v>335</v>
      </c>
      <c r="C220" s="246">
        <v>0</v>
      </c>
      <c r="D220" s="206"/>
      <c r="E220" s="214"/>
      <c r="F220" s="246">
        <v>2850</v>
      </c>
      <c r="G220" s="206"/>
      <c r="H220" s="214"/>
      <c r="I220" s="1">
        <f t="shared" si="10"/>
        <v>-2850</v>
      </c>
      <c r="J220" s="1">
        <f t="shared" si="10"/>
        <v>0</v>
      </c>
      <c r="K220" s="1">
        <f t="shared" si="10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7740</v>
      </c>
      <c r="B221" s="213" t="s">
        <v>636</v>
      </c>
      <c r="C221" s="246">
        <v>-0.77</v>
      </c>
      <c r="D221" s="206"/>
      <c r="E221" s="214"/>
      <c r="F221" s="246">
        <v>-0.51</v>
      </c>
      <c r="G221" s="206"/>
      <c r="H221" s="214"/>
      <c r="I221" s="1">
        <f t="shared" si="10"/>
        <v>-0.26</v>
      </c>
      <c r="J221" s="1">
        <f t="shared" si="10"/>
        <v>0</v>
      </c>
      <c r="K221" s="1">
        <f t="shared" si="10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 ht="14.4">
      <c r="A222" s="215">
        <v>7750</v>
      </c>
      <c r="B222" s="216" t="s">
        <v>780</v>
      </c>
      <c r="C222" s="246">
        <v>0</v>
      </c>
      <c r="D222" s="206"/>
      <c r="E222" s="214"/>
      <c r="F222" s="246">
        <v>-43083.75</v>
      </c>
      <c r="G222" s="206"/>
      <c r="H222" s="214"/>
      <c r="I222" s="1">
        <f t="shared" si="10"/>
        <v>43083.75</v>
      </c>
      <c r="J222" s="1">
        <f t="shared" si="10"/>
        <v>0</v>
      </c>
      <c r="K222" s="1">
        <f t="shared" si="10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7770</v>
      </c>
      <c r="B223" s="213" t="s">
        <v>637</v>
      </c>
      <c r="C223" s="246">
        <v>19660.66</v>
      </c>
      <c r="D223" s="206"/>
      <c r="E223" s="214"/>
      <c r="F223" s="246">
        <v>20964.78</v>
      </c>
      <c r="G223" s="206"/>
      <c r="H223" s="214"/>
      <c r="I223" s="1">
        <f t="shared" si="10"/>
        <v>-1304.119999999999</v>
      </c>
      <c r="J223" s="1">
        <f t="shared" si="10"/>
        <v>0</v>
      </c>
      <c r="K223" s="1">
        <f t="shared" si="10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7790</v>
      </c>
      <c r="B224" s="213" t="s">
        <v>638</v>
      </c>
      <c r="C224" s="246">
        <v>2899.7</v>
      </c>
      <c r="D224" s="206"/>
      <c r="E224" s="214"/>
      <c r="F224" s="246">
        <v>39498.839999999997</v>
      </c>
      <c r="G224" s="206"/>
      <c r="H224" s="214"/>
      <c r="I224" s="1">
        <f t="shared" si="10"/>
        <v>-36599.14</v>
      </c>
      <c r="J224" s="1">
        <f t="shared" si="10"/>
        <v>0</v>
      </c>
      <c r="K224" s="1">
        <f t="shared" si="10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7791</v>
      </c>
      <c r="B225" s="213" t="s">
        <v>839</v>
      </c>
      <c r="C225" s="246">
        <v>0</v>
      </c>
      <c r="D225" s="206"/>
      <c r="E225" s="214"/>
      <c r="F225" s="246">
        <v>-58.8</v>
      </c>
      <c r="G225" s="206"/>
      <c r="H225" s="214"/>
      <c r="I225" s="1">
        <f t="shared" si="10"/>
        <v>58.8</v>
      </c>
      <c r="J225" s="1">
        <f t="shared" si="10"/>
        <v>0</v>
      </c>
      <c r="K225" s="1">
        <f t="shared" si="10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7792</v>
      </c>
      <c r="B226" s="213" t="s">
        <v>343</v>
      </c>
      <c r="C226" s="246">
        <v>0</v>
      </c>
      <c r="D226" s="206"/>
      <c r="E226" s="214"/>
      <c r="F226" s="246">
        <v>0</v>
      </c>
      <c r="G226" s="206"/>
      <c r="H226" s="214"/>
      <c r="I226" s="1">
        <f t="shared" si="10"/>
        <v>0</v>
      </c>
      <c r="J226" s="1">
        <f t="shared" si="10"/>
        <v>0</v>
      </c>
      <c r="K226" s="1">
        <f t="shared" si="10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7830</v>
      </c>
      <c r="B227" s="213" t="s">
        <v>639</v>
      </c>
      <c r="C227" s="246">
        <v>15412.5</v>
      </c>
      <c r="D227" s="206"/>
      <c r="E227" s="214"/>
      <c r="F227" s="246">
        <v>90208</v>
      </c>
      <c r="G227" s="206"/>
      <c r="H227" s="214"/>
      <c r="I227" s="1">
        <f t="shared" si="10"/>
        <v>-74795.5</v>
      </c>
      <c r="J227" s="1">
        <f t="shared" si="10"/>
        <v>0</v>
      </c>
      <c r="K227" s="1">
        <f t="shared" si="10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7831</v>
      </c>
      <c r="B228" s="218" t="s">
        <v>713</v>
      </c>
      <c r="C228" s="246">
        <v>-22439.5</v>
      </c>
      <c r="D228" s="206"/>
      <c r="E228" s="214"/>
      <c r="F228" s="246">
        <v>-30615.5</v>
      </c>
      <c r="G228" s="206"/>
      <c r="H228" s="214"/>
      <c r="I228" s="1">
        <f t="shared" si="10"/>
        <v>8176</v>
      </c>
      <c r="J228" s="1">
        <f t="shared" si="10"/>
        <v>0</v>
      </c>
      <c r="K228" s="1">
        <f t="shared" si="10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23" t="s">
        <v>374</v>
      </c>
      <c r="B229" s="213" t="s">
        <v>655</v>
      </c>
      <c r="C229" s="246">
        <f>SUM(C173:C228)</f>
        <v>1632612.9199999997</v>
      </c>
      <c r="D229" s="230">
        <f>C229</f>
        <v>1632612.9199999997</v>
      </c>
      <c r="E229" s="214"/>
      <c r="F229" s="246">
        <f>SUM(F173:F228)</f>
        <v>1741804.92</v>
      </c>
      <c r="G229" s="230">
        <f>F229</f>
        <v>1741804.92</v>
      </c>
      <c r="H229" s="214"/>
      <c r="I229" s="1">
        <f t="shared" si="10"/>
        <v>-109192.00000000023</v>
      </c>
      <c r="J229" s="1">
        <f t="shared" si="10"/>
        <v>-109192.00000000023</v>
      </c>
      <c r="K229" s="1">
        <f t="shared" si="10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/>
      <c r="B230" s="213"/>
      <c r="C230" s="241" t="s">
        <v>374</v>
      </c>
      <c r="D230" s="206"/>
      <c r="E230" s="214"/>
      <c r="F230" s="241"/>
      <c r="G230" s="206"/>
      <c r="H230" s="214"/>
      <c r="I230" s="1"/>
      <c r="J230" s="1">
        <f t="shared" si="10"/>
        <v>0</v>
      </c>
      <c r="K230" s="1">
        <f t="shared" si="10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8050</v>
      </c>
      <c r="B231" s="213" t="s">
        <v>640</v>
      </c>
      <c r="C231" s="250">
        <v>-2992</v>
      </c>
      <c r="D231" s="206"/>
      <c r="E231" s="214"/>
      <c r="F231" s="250">
        <v>-3106.27</v>
      </c>
      <c r="G231" s="206"/>
      <c r="H231" s="214"/>
      <c r="I231" s="1">
        <f t="shared" si="10"/>
        <v>114.26999999999998</v>
      </c>
      <c r="J231" s="1">
        <f t="shared" si="10"/>
        <v>0</v>
      </c>
      <c r="K231" s="1">
        <f t="shared" si="10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 ht="14.4">
      <c r="A232" s="215">
        <v>8060</v>
      </c>
      <c r="B232" s="216" t="s">
        <v>781</v>
      </c>
      <c r="C232" s="250">
        <v>-603.72</v>
      </c>
      <c r="D232" s="234">
        <f>SUM(C231:C234)</f>
        <v>-12967.510000000002</v>
      </c>
      <c r="E232" s="214"/>
      <c r="F232" s="250">
        <v>5.35</v>
      </c>
      <c r="G232" s="234">
        <f>SUM(F231:F232)</f>
        <v>-3100.92</v>
      </c>
      <c r="H232" s="214"/>
      <c r="I232" s="1">
        <f t="shared" si="10"/>
        <v>-609.07000000000005</v>
      </c>
      <c r="J232" s="1">
        <f t="shared" si="10"/>
        <v>-9866.590000000002</v>
      </c>
      <c r="K232" s="1">
        <f t="shared" si="10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 ht="14.4">
      <c r="A233" s="215">
        <v>8071</v>
      </c>
      <c r="B233" s="216" t="s">
        <v>389</v>
      </c>
      <c r="C233" s="250">
        <v>-9292</v>
      </c>
      <c r="D233" s="234"/>
      <c r="E233" s="214"/>
      <c r="F233" s="250">
        <v>0</v>
      </c>
      <c r="G233" s="234"/>
      <c r="H233" s="214"/>
      <c r="I233" s="1"/>
      <c r="J233" s="1"/>
      <c r="K233" s="1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 ht="14.4">
      <c r="A234" s="215">
        <v>8078</v>
      </c>
      <c r="B234" s="216" t="s">
        <v>870</v>
      </c>
      <c r="C234" s="250">
        <v>-79.790000000000006</v>
      </c>
      <c r="D234" s="234"/>
      <c r="E234" s="214"/>
      <c r="F234" s="250">
        <v>0</v>
      </c>
      <c r="G234" s="234"/>
      <c r="H234" s="214"/>
      <c r="I234" s="1"/>
      <c r="J234" s="1"/>
      <c r="K234" s="1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 ht="14.4">
      <c r="A235" s="215">
        <v>8150</v>
      </c>
      <c r="B235" s="216" t="s">
        <v>782</v>
      </c>
      <c r="C235" s="254">
        <v>0</v>
      </c>
      <c r="D235" s="206"/>
      <c r="E235" s="214"/>
      <c r="F235" s="254">
        <v>0</v>
      </c>
      <c r="G235" s="232"/>
      <c r="H235" s="214"/>
      <c r="I235" s="1">
        <f t="shared" si="10"/>
        <v>0</v>
      </c>
      <c r="J235" s="1">
        <f t="shared" si="10"/>
        <v>0</v>
      </c>
      <c r="K235" s="1">
        <f t="shared" si="10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 ht="14.4">
      <c r="A236" s="215">
        <v>8153</v>
      </c>
      <c r="B236" s="213" t="s">
        <v>641</v>
      </c>
      <c r="C236" s="254">
        <v>886.76</v>
      </c>
      <c r="D236" s="206"/>
      <c r="E236" s="214"/>
      <c r="F236" s="254">
        <v>822.21</v>
      </c>
      <c r="G236" s="232"/>
      <c r="H236" s="214"/>
      <c r="I236" s="1"/>
      <c r="J236" s="1"/>
      <c r="K236" s="1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>
      <c r="A237" s="212">
        <v>8160</v>
      </c>
      <c r="B237" s="213" t="s">
        <v>871</v>
      </c>
      <c r="C237" s="254">
        <v>687.65</v>
      </c>
      <c r="D237" s="237">
        <f>SUM(C235:C237)</f>
        <v>1574.4099999999999</v>
      </c>
      <c r="E237" s="214">
        <f>SUM(D145:D237)</f>
        <v>6493799.2999999998</v>
      </c>
      <c r="F237" s="254">
        <v>0</v>
      </c>
      <c r="G237" s="237">
        <f>SUM(F235:F237)</f>
        <v>822.21</v>
      </c>
      <c r="H237" s="214">
        <f>SUM(G145:G237)</f>
        <v>6719176.6600000001</v>
      </c>
      <c r="I237" s="1">
        <f t="shared" si="10"/>
        <v>687.65</v>
      </c>
      <c r="J237" s="1">
        <f t="shared" si="10"/>
        <v>752.19999999999982</v>
      </c>
      <c r="K237" s="1">
        <f t="shared" si="10"/>
        <v>-225377.36000000034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3.8" thickBot="1">
      <c r="A238" s="222" t="s">
        <v>374</v>
      </c>
      <c r="B238" s="219" t="s">
        <v>642</v>
      </c>
      <c r="C238" s="255">
        <f>SUM(C230:C237)</f>
        <v>-11393.100000000002</v>
      </c>
      <c r="D238" s="220"/>
      <c r="E238" s="221"/>
      <c r="F238" s="255">
        <f>SUM(F231:F237)</f>
        <v>-2278.71</v>
      </c>
      <c r="G238" s="220"/>
      <c r="H238" s="221"/>
      <c r="I238" s="1">
        <f t="shared" si="10"/>
        <v>-9114.3900000000031</v>
      </c>
      <c r="J238" s="1">
        <f t="shared" si="10"/>
        <v>0</v>
      </c>
      <c r="K238" s="1">
        <f t="shared" si="10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C239" s="23" t="s">
        <v>374</v>
      </c>
      <c r="D239" s="23" t="s">
        <v>790</v>
      </c>
      <c r="E239" s="23"/>
      <c r="F239" s="23"/>
      <c r="G239" s="23"/>
      <c r="H239" s="23"/>
      <c r="K239" s="1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C240" s="23" t="s">
        <v>374</v>
      </c>
      <c r="D240" s="23"/>
      <c r="E240" s="23"/>
      <c r="F240" s="23"/>
      <c r="G240" s="23"/>
      <c r="H240" s="23"/>
      <c r="K240" s="1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3:28">
      <c r="D241" s="23"/>
      <c r="E241" s="23"/>
      <c r="F241" s="23"/>
      <c r="G241" s="23"/>
      <c r="H241" s="23"/>
      <c r="K241" s="1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3:28">
      <c r="D242" s="23"/>
      <c r="E242" s="23"/>
      <c r="F242" s="23"/>
      <c r="G242" s="23"/>
      <c r="H242" s="23"/>
      <c r="K242" s="1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3:28">
      <c r="C243" s="23" t="s">
        <v>374</v>
      </c>
      <c r="F243" s="23"/>
      <c r="G243" s="23"/>
      <c r="H243" s="23"/>
      <c r="K243" s="1"/>
    </row>
    <row r="244" spans="3:28">
      <c r="F244" s="23"/>
      <c r="G244" s="23"/>
      <c r="H244" s="23"/>
      <c r="K244" s="1"/>
    </row>
    <row r="245" spans="3:28">
      <c r="F245" s="23"/>
      <c r="G245" s="23"/>
      <c r="H245" s="23"/>
      <c r="K245" s="1"/>
    </row>
    <row r="246" spans="3:28">
      <c r="F246" s="23"/>
      <c r="G246" s="23"/>
      <c r="H246" s="23"/>
      <c r="K246" s="1"/>
    </row>
    <row r="247" spans="3:28">
      <c r="F247" s="23"/>
      <c r="G247" s="23"/>
      <c r="H247" s="23"/>
      <c r="K247" s="1"/>
    </row>
    <row r="248" spans="3:28">
      <c r="F248" s="23"/>
      <c r="G248" s="23"/>
      <c r="H248" s="23"/>
      <c r="K248" s="1"/>
    </row>
    <row r="249" spans="3:28">
      <c r="F249" s="23"/>
      <c r="G249" s="23"/>
      <c r="H249" s="23"/>
      <c r="K249" s="1"/>
    </row>
    <row r="250" spans="3:28">
      <c r="F250" s="23"/>
      <c r="G250" s="23"/>
      <c r="H250" s="23"/>
      <c r="K250" s="1"/>
    </row>
    <row r="251" spans="3:28">
      <c r="F251" s="23"/>
      <c r="G251" s="23"/>
      <c r="H251" s="23"/>
      <c r="K251" s="1"/>
    </row>
    <row r="252" spans="3:28">
      <c r="F252" s="23"/>
      <c r="G252" s="23"/>
      <c r="H252" s="23"/>
      <c r="K252" s="1"/>
    </row>
    <row r="253" spans="3:28">
      <c r="F253" s="23"/>
      <c r="G253" s="23"/>
      <c r="H253" s="23"/>
      <c r="K253" s="1"/>
    </row>
    <row r="254" spans="3:28">
      <c r="F254" s="23"/>
      <c r="G254" s="23"/>
      <c r="H254" s="23"/>
      <c r="K254" s="1"/>
    </row>
    <row r="255" spans="3:28">
      <c r="F255" s="23"/>
      <c r="G255" s="23"/>
      <c r="H255" s="23"/>
      <c r="K255" s="1"/>
    </row>
    <row r="256" spans="3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"/>
  <sheetViews>
    <sheetView topLeftCell="A43" workbookViewId="0">
      <selection activeCell="D63" sqref="D63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6" ht="23.4">
      <c r="A1" s="2" t="s">
        <v>887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88" t="s">
        <v>376</v>
      </c>
      <c r="C6" s="375" t="s">
        <v>377</v>
      </c>
      <c r="D6" s="375"/>
    </row>
    <row r="7" spans="1:6">
      <c r="B7" s="288"/>
      <c r="C7" s="288">
        <v>2018</v>
      </c>
      <c r="D7" s="288">
        <v>2017</v>
      </c>
    </row>
    <row r="8" spans="1:6">
      <c r="A8" s="3" t="s">
        <v>379</v>
      </c>
      <c r="B8" s="288" t="s">
        <v>374</v>
      </c>
      <c r="C8" s="141"/>
      <c r="D8" s="141"/>
    </row>
    <row r="9" spans="1:6">
      <c r="A9" t="s">
        <v>423</v>
      </c>
      <c r="B9" s="288"/>
      <c r="C9" s="170">
        <f>'Saldobalanse 2018'!D107*-1</f>
        <v>1911750</v>
      </c>
      <c r="D9" s="170">
        <f>'Saldobalanse 2018'!G107*-1</f>
        <v>1058000</v>
      </c>
    </row>
    <row r="10" spans="1:6">
      <c r="A10" t="s">
        <v>424</v>
      </c>
      <c r="B10" s="288"/>
      <c r="C10" s="170">
        <f>'Saldobalanse 2018'!D119*-1</f>
        <v>1487385</v>
      </c>
      <c r="D10" s="170">
        <f>'Saldobalanse 2018'!G119*-1</f>
        <v>1875343.67</v>
      </c>
    </row>
    <row r="11" spans="1:6">
      <c r="A11" t="s">
        <v>425</v>
      </c>
      <c r="B11" s="288"/>
      <c r="C11" s="170">
        <f>'Saldobalanse 2018'!D113*-1</f>
        <v>683150.6</v>
      </c>
      <c r="D11" s="170">
        <f>'Saldobalanse 2018'!G113*-1</f>
        <v>440525</v>
      </c>
    </row>
    <row r="12" spans="1:6">
      <c r="A12" t="s">
        <v>220</v>
      </c>
      <c r="B12" s="288"/>
      <c r="C12" s="171">
        <f>'Saldobalanse 2018'!D124*-1</f>
        <v>3567591.11</v>
      </c>
      <c r="D12" s="171">
        <f>'Saldobalanse 2018'!G124*-1</f>
        <v>3782339.9</v>
      </c>
    </row>
    <row r="13" spans="1:6">
      <c r="A13" s="3" t="s">
        <v>381</v>
      </c>
      <c r="B13" s="288"/>
      <c r="C13" s="172">
        <f>SUM(C9:C12)</f>
        <v>7649876.71</v>
      </c>
      <c r="D13" s="172">
        <f>SUM(D9:D12)</f>
        <v>7156208.5700000003</v>
      </c>
      <c r="F13" s="7"/>
    </row>
    <row r="14" spans="1:6">
      <c r="B14" s="288"/>
      <c r="C14" s="170"/>
      <c r="D14" s="170"/>
    </row>
    <row r="15" spans="1:6">
      <c r="A15" s="3" t="s">
        <v>382</v>
      </c>
      <c r="B15" s="288"/>
      <c r="C15" s="170"/>
      <c r="D15" s="170"/>
    </row>
    <row r="16" spans="1:6">
      <c r="A16" t="s">
        <v>383</v>
      </c>
      <c r="B16" s="288" t="s">
        <v>374</v>
      </c>
      <c r="C16" s="170">
        <f>'Saldobalanse 2018'!D145</f>
        <v>3642136.21</v>
      </c>
      <c r="D16" s="170">
        <f>'Saldobalanse 2018'!G145</f>
        <v>3759009.97</v>
      </c>
    </row>
    <row r="17" spans="1:5">
      <c r="A17" s="139" t="s">
        <v>247</v>
      </c>
      <c r="B17" s="140"/>
      <c r="C17" s="173">
        <f>'Saldobalanse 2018'!D172</f>
        <v>65546</v>
      </c>
      <c r="D17" s="173">
        <f>'Saldobalanse 2018'!G172</f>
        <v>51744</v>
      </c>
    </row>
    <row r="18" spans="1:5">
      <c r="A18" t="s">
        <v>384</v>
      </c>
      <c r="B18" s="288" t="s">
        <v>815</v>
      </c>
      <c r="C18" s="170">
        <f>'Saldobalanse 2018'!D169</f>
        <v>1164897.2699999998</v>
      </c>
      <c r="D18" s="170">
        <f>'Saldobalanse 2018'!G169</f>
        <v>1168896.4800000002</v>
      </c>
    </row>
    <row r="19" spans="1:5">
      <c r="A19" t="s">
        <v>385</v>
      </c>
      <c r="B19" s="288"/>
      <c r="C19" s="171">
        <f>'Saldobalanse 2018'!D229</f>
        <v>1632612.9199999997</v>
      </c>
      <c r="D19" s="171">
        <f>'Saldobalanse 2018'!G229</f>
        <v>1741804.92</v>
      </c>
    </row>
    <row r="20" spans="1:5">
      <c r="A20" s="3" t="s">
        <v>386</v>
      </c>
      <c r="B20" s="288"/>
      <c r="C20" s="172">
        <f>SUM(C16:C19)</f>
        <v>6505192.3999999994</v>
      </c>
      <c r="D20" s="172">
        <f>SUM(D16:D19)</f>
        <v>6721455.3700000001</v>
      </c>
    </row>
    <row r="21" spans="1:5">
      <c r="B21" s="288"/>
      <c r="C21" s="170"/>
      <c r="D21" s="170"/>
    </row>
    <row r="22" spans="1:5">
      <c r="A22" s="3" t="s">
        <v>387</v>
      </c>
      <c r="B22" s="288"/>
      <c r="C22" s="172">
        <f>C13-C20</f>
        <v>1144684.3100000005</v>
      </c>
      <c r="D22" s="172">
        <f>D13-D20</f>
        <v>434753.20000000019</v>
      </c>
      <c r="E22" s="7"/>
    </row>
    <row r="23" spans="1:5">
      <c r="B23" s="288"/>
      <c r="C23" s="170"/>
      <c r="D23" s="170"/>
    </row>
    <row r="24" spans="1:5">
      <c r="A24" s="3" t="s">
        <v>388</v>
      </c>
      <c r="B24" s="288"/>
      <c r="C24" s="170"/>
      <c r="D24" s="170"/>
    </row>
    <row r="25" spans="1:5">
      <c r="A25" t="s">
        <v>389</v>
      </c>
      <c r="B25" s="288"/>
      <c r="C25" s="170">
        <f>'Saldobalanse 2018'!D232*-1</f>
        <v>12967.510000000002</v>
      </c>
      <c r="D25" s="170">
        <f>'Saldobalanse 2018'!G232*-1</f>
        <v>3100.92</v>
      </c>
    </row>
    <row r="26" spans="1:5">
      <c r="A26" t="s">
        <v>390</v>
      </c>
      <c r="B26" s="288"/>
      <c r="C26" s="171">
        <f>'Saldobalanse 2018'!D237</f>
        <v>1574.4099999999999</v>
      </c>
      <c r="D26" s="171">
        <f>'Saldobalanse 2018'!G237</f>
        <v>822.21</v>
      </c>
    </row>
    <row r="27" spans="1:5">
      <c r="A27" s="3" t="s">
        <v>391</v>
      </c>
      <c r="B27" s="288"/>
      <c r="C27" s="172">
        <f>C25-C26</f>
        <v>11393.100000000002</v>
      </c>
      <c r="D27" s="172">
        <f>D25-D26</f>
        <v>2278.71</v>
      </c>
    </row>
    <row r="28" spans="1:5">
      <c r="A28" s="3"/>
      <c r="B28" s="288"/>
      <c r="C28" s="172"/>
      <c r="D28" s="172"/>
    </row>
    <row r="29" spans="1:5">
      <c r="A29" s="3" t="s">
        <v>392</v>
      </c>
      <c r="B29" s="288"/>
      <c r="C29" s="172">
        <f>C22+C27</f>
        <v>1156077.4100000006</v>
      </c>
      <c r="D29" s="172">
        <f>D22+D27</f>
        <v>437031.91000000021</v>
      </c>
    </row>
    <row r="30" spans="1:5">
      <c r="B30" s="288"/>
      <c r="C30" s="170"/>
      <c r="D30" s="170"/>
    </row>
    <row r="31" spans="1:5">
      <c r="A31" s="3" t="s">
        <v>393</v>
      </c>
      <c r="B31" s="288"/>
      <c r="C31" s="170"/>
      <c r="D31" s="170"/>
    </row>
    <row r="32" spans="1:5">
      <c r="A32" t="s">
        <v>394</v>
      </c>
      <c r="B32" s="288"/>
      <c r="C32" s="171">
        <f>C29</f>
        <v>1156077.4100000006</v>
      </c>
      <c r="D32" s="171">
        <f>D29</f>
        <v>437031.91000000021</v>
      </c>
    </row>
    <row r="33" spans="1:4">
      <c r="A33" s="3" t="s">
        <v>395</v>
      </c>
      <c r="B33" s="288"/>
      <c r="C33" s="172">
        <f>SUM(C32)</f>
        <v>1156077.4100000006</v>
      </c>
      <c r="D33" s="172">
        <f>SUM(D32)</f>
        <v>437031.91000000021</v>
      </c>
    </row>
    <row r="34" spans="1:4">
      <c r="B34" s="288"/>
      <c r="C34" s="170" t="s">
        <v>374</v>
      </c>
      <c r="D34" s="170"/>
    </row>
    <row r="35" spans="1:4">
      <c r="B35" s="288"/>
      <c r="C35" s="170" t="s">
        <v>374</v>
      </c>
      <c r="D35" s="170"/>
    </row>
    <row r="36" spans="1:4">
      <c r="B36" s="288"/>
      <c r="C36" s="170"/>
      <c r="D36" s="170"/>
    </row>
    <row r="37" spans="1:4" ht="23.4">
      <c r="A37" s="2" t="s">
        <v>888</v>
      </c>
      <c r="B37" s="288"/>
      <c r="C37" s="141"/>
      <c r="D37" s="141"/>
    </row>
    <row r="38" spans="1:4" s="4" customFormat="1">
      <c r="B38" s="288"/>
      <c r="C38" s="174"/>
      <c r="D38" s="174"/>
    </row>
    <row r="39" spans="1:4" s="4" customFormat="1">
      <c r="B39" s="288"/>
      <c r="C39" s="376" t="s">
        <v>396</v>
      </c>
      <c r="D39" s="376"/>
    </row>
    <row r="40" spans="1:4">
      <c r="B40" s="288" t="s">
        <v>376</v>
      </c>
      <c r="C40" s="289">
        <v>2018</v>
      </c>
      <c r="D40" s="289">
        <v>2017</v>
      </c>
    </row>
    <row r="41" spans="1:4">
      <c r="A41" s="3" t="s">
        <v>397</v>
      </c>
      <c r="B41" s="288"/>
      <c r="C41" s="141"/>
      <c r="D41" s="141"/>
    </row>
    <row r="42" spans="1:4">
      <c r="A42" s="3" t="s">
        <v>398</v>
      </c>
      <c r="B42" s="288"/>
      <c r="C42" s="176"/>
      <c r="D42" s="176"/>
    </row>
    <row r="43" spans="1:4">
      <c r="A43" s="10" t="s">
        <v>399</v>
      </c>
      <c r="B43" s="288" t="s">
        <v>521</v>
      </c>
      <c r="C43" s="170">
        <f>'Saldobalanse 2018'!D6</f>
        <v>1332790</v>
      </c>
      <c r="D43" s="179">
        <f>'Saldobalanse 2018'!G6</f>
        <v>1332790</v>
      </c>
    </row>
    <row r="44" spans="1:4">
      <c r="A44" s="10" t="s">
        <v>429</v>
      </c>
      <c r="B44" s="288" t="s">
        <v>522</v>
      </c>
      <c r="C44" s="171">
        <f>'Saldobalanse 2018'!D12</f>
        <v>157390.73000000001</v>
      </c>
      <c r="D44" s="171">
        <f>'Saldobalanse 2018'!G12</f>
        <v>179951</v>
      </c>
    </row>
    <row r="45" spans="1:4">
      <c r="A45" s="3" t="s">
        <v>400</v>
      </c>
      <c r="B45" s="288"/>
      <c r="C45" s="172">
        <f>SUM(C43:C44)</f>
        <v>1490180.73</v>
      </c>
      <c r="D45" s="172">
        <f>SUM(D43:D44)</f>
        <v>1512741</v>
      </c>
    </row>
    <row r="46" spans="1:4">
      <c r="B46" s="288"/>
      <c r="C46" s="170"/>
      <c r="D46" s="170"/>
    </row>
    <row r="47" spans="1:4">
      <c r="A47" s="3" t="s">
        <v>401</v>
      </c>
      <c r="B47" s="288"/>
      <c r="C47" s="141"/>
      <c r="D47" s="170"/>
    </row>
    <row r="48" spans="1:4">
      <c r="A48" t="s">
        <v>402</v>
      </c>
      <c r="B48" s="288" t="s">
        <v>380</v>
      </c>
      <c r="C48" s="170">
        <f>'Saldobalanse 2018'!D13</f>
        <v>106961.13</v>
      </c>
      <c r="D48" s="170">
        <f>'Saldobalanse 2018'!G13</f>
        <v>72707.63</v>
      </c>
    </row>
    <row r="49" spans="1:6">
      <c r="A49" t="s">
        <v>22</v>
      </c>
      <c r="B49" s="288" t="s">
        <v>380</v>
      </c>
      <c r="C49" s="170">
        <f>'Saldobalanse 2018'!D16</f>
        <v>40779.699999999997</v>
      </c>
      <c r="D49" s="170">
        <f>'Saldobalanse 2018'!G16</f>
        <v>111100</v>
      </c>
    </row>
    <row r="50" spans="1:6">
      <c r="A50" t="s">
        <v>403</v>
      </c>
      <c r="B50" s="288" t="s">
        <v>380</v>
      </c>
      <c r="C50" s="170">
        <f>'Saldobalanse 2018'!D22</f>
        <v>226890</v>
      </c>
      <c r="D50" s="170">
        <f>'Saldobalanse 2018'!G22</f>
        <v>141831.5</v>
      </c>
    </row>
    <row r="51" spans="1:6">
      <c r="A51" t="s">
        <v>404</v>
      </c>
      <c r="B51" s="288" t="s">
        <v>405</v>
      </c>
      <c r="C51" s="171">
        <f>'Saldobalanse 2018'!D38</f>
        <v>3225366.17</v>
      </c>
      <c r="D51" s="171">
        <f>'Saldobalanse 2018'!G38</f>
        <v>2048411.6</v>
      </c>
    </row>
    <row r="52" spans="1:6">
      <c r="A52" s="3" t="s">
        <v>406</v>
      </c>
      <c r="B52" s="288"/>
      <c r="C52" s="172">
        <f>SUM(C48:C51)</f>
        <v>3599997</v>
      </c>
      <c r="D52" s="172">
        <f>SUM(D48:D51)</f>
        <v>2374050.73</v>
      </c>
    </row>
    <row r="53" spans="1:6">
      <c r="B53" s="288"/>
      <c r="C53" s="170"/>
      <c r="D53" s="170"/>
    </row>
    <row r="54" spans="1:6">
      <c r="A54" s="3" t="s">
        <v>407</v>
      </c>
      <c r="B54" s="288"/>
      <c r="C54" s="172">
        <f>C45+C52</f>
        <v>5090177.7300000004</v>
      </c>
      <c r="D54" s="172">
        <f>D45+D52</f>
        <v>3886791.73</v>
      </c>
    </row>
    <row r="55" spans="1:6">
      <c r="B55" s="288"/>
      <c r="C55" s="141"/>
      <c r="D55" s="170"/>
    </row>
    <row r="56" spans="1:6">
      <c r="B56" s="288"/>
      <c r="C56" s="141"/>
      <c r="D56" s="170"/>
    </row>
    <row r="57" spans="1:6" ht="21">
      <c r="A57" s="98" t="str">
        <f>A37</f>
        <v>Balanse pr 31.12.2018 for Oslostudentenes Idrettsklubb</v>
      </c>
      <c r="B57" s="288"/>
      <c r="C57" s="141"/>
      <c r="D57" s="170"/>
    </row>
    <row r="58" spans="1:6">
      <c r="B58" s="288"/>
      <c r="C58" s="141"/>
      <c r="D58" s="170"/>
    </row>
    <row r="59" spans="1:6">
      <c r="B59" s="288"/>
      <c r="C59" s="377" t="s">
        <v>396</v>
      </c>
      <c r="D59" s="377"/>
    </row>
    <row r="60" spans="1:6">
      <c r="B60" s="288" t="s">
        <v>376</v>
      </c>
      <c r="C60" s="290">
        <f>C40</f>
        <v>2018</v>
      </c>
      <c r="D60" s="181">
        <v>2017</v>
      </c>
    </row>
    <row r="61" spans="1:6">
      <c r="A61" s="3" t="s">
        <v>408</v>
      </c>
      <c r="B61" s="288"/>
      <c r="C61" s="141"/>
      <c r="D61" s="170"/>
    </row>
    <row r="62" spans="1:6">
      <c r="A62" s="16" t="s">
        <v>431</v>
      </c>
      <c r="B62" s="288" t="s">
        <v>409</v>
      </c>
      <c r="C62" s="170">
        <f>'Saldobalanse 2018'!D77</f>
        <v>-637309.85000000009</v>
      </c>
      <c r="D62" s="170">
        <f>'Saldobalanse 2018'!G77</f>
        <v>-637309.85000000009</v>
      </c>
    </row>
    <row r="63" spans="1:6">
      <c r="A63" s="16" t="s">
        <v>432</v>
      </c>
      <c r="B63" s="288"/>
      <c r="C63" s="171">
        <f>'Saldobalanse 2018'!D85</f>
        <v>-2551238.9200000009</v>
      </c>
      <c r="D63" s="171">
        <f>'Saldobalanse 2018'!G85</f>
        <v>-1395161.5100000005</v>
      </c>
    </row>
    <row r="64" spans="1:6">
      <c r="A64" s="3" t="s">
        <v>410</v>
      </c>
      <c r="B64" s="288"/>
      <c r="C64" s="172">
        <f>SUM(C62:C63)</f>
        <v>-3188548.7700000009</v>
      </c>
      <c r="D64" s="172">
        <f>SUM(D62:D63)</f>
        <v>-2032471.3600000006</v>
      </c>
      <c r="F64" s="7"/>
    </row>
    <row r="65" spans="1:6">
      <c r="B65" s="288"/>
      <c r="C65" s="141"/>
      <c r="D65" s="170"/>
    </row>
    <row r="66" spans="1:6">
      <c r="A66" s="3" t="s">
        <v>411</v>
      </c>
      <c r="B66" s="288"/>
      <c r="C66" s="141"/>
      <c r="D66" s="170"/>
      <c r="F66" t="s">
        <v>374</v>
      </c>
    </row>
    <row r="67" spans="1:6">
      <c r="A67" s="16" t="s">
        <v>433</v>
      </c>
      <c r="B67" s="288" t="s">
        <v>521</v>
      </c>
      <c r="C67" s="170">
        <f>'Saldobalanse 2018'!D92</f>
        <v>-20000</v>
      </c>
      <c r="D67" s="170">
        <f>'Saldobalanse 2018'!G92</f>
        <v>-20000</v>
      </c>
    </row>
    <row r="68" spans="1:6">
      <c r="A68" t="s">
        <v>413</v>
      </c>
      <c r="B68" s="288" t="s">
        <v>521</v>
      </c>
      <c r="C68" s="171">
        <f>'Saldobalanse 2018'!D88</f>
        <v>-1312790</v>
      </c>
      <c r="D68" s="171">
        <f>'Saldobalanse 2018'!G88</f>
        <v>-1312790</v>
      </c>
    </row>
    <row r="69" spans="1:6">
      <c r="A69" s="3" t="s">
        <v>415</v>
      </c>
      <c r="B69" s="288"/>
      <c r="C69" s="172">
        <f>SUM(C67:C68)</f>
        <v>-1332790</v>
      </c>
      <c r="D69" s="172">
        <f>SUM(D67:D68)</f>
        <v>-1332790</v>
      </c>
    </row>
    <row r="70" spans="1:6">
      <c r="B70" s="288"/>
      <c r="C70" s="141"/>
      <c r="D70" s="170"/>
    </row>
    <row r="71" spans="1:6">
      <c r="A71" s="3" t="s">
        <v>416</v>
      </c>
      <c r="B71" s="288"/>
      <c r="C71" s="141"/>
      <c r="D71" s="170"/>
    </row>
    <row r="72" spans="1:6">
      <c r="A72" t="s">
        <v>144</v>
      </c>
      <c r="B72" s="288"/>
      <c r="C72" s="170">
        <f>'Saldobalanse 2018'!D89</f>
        <v>-449161.06</v>
      </c>
      <c r="D72" s="170">
        <f>'Saldobalanse 2018'!G89</f>
        <v>-449203.53</v>
      </c>
    </row>
    <row r="73" spans="1:6">
      <c r="A73" t="s">
        <v>417</v>
      </c>
      <c r="B73" s="288" t="s">
        <v>405</v>
      </c>
      <c r="C73" s="170">
        <f>'Saldobalanse 2018'!D94</f>
        <v>-65195.93</v>
      </c>
      <c r="D73" s="170">
        <f>'Saldobalanse 2018'!G94</f>
        <v>-50077.34</v>
      </c>
    </row>
    <row r="74" spans="1:6">
      <c r="A74" t="s">
        <v>146</v>
      </c>
      <c r="B74" s="288" t="s">
        <v>374</v>
      </c>
      <c r="C74" s="171">
        <f>'Saldobalanse 2018'!D100</f>
        <v>-54482.719999999994</v>
      </c>
      <c r="D74" s="171">
        <f>'Saldobalanse 2018'!G100</f>
        <v>-22249.5</v>
      </c>
    </row>
    <row r="75" spans="1:6">
      <c r="A75" s="3" t="s">
        <v>418</v>
      </c>
      <c r="B75" s="288"/>
      <c r="C75" s="172">
        <f>SUM(C72:C74)</f>
        <v>-568839.71</v>
      </c>
      <c r="D75" s="172">
        <f>SUM(D72:D74)</f>
        <v>-521530.37</v>
      </c>
    </row>
    <row r="76" spans="1:6">
      <c r="B76" s="288"/>
      <c r="C76" s="141"/>
      <c r="D76" s="170"/>
    </row>
    <row r="77" spans="1:6">
      <c r="A77" s="3" t="s">
        <v>419</v>
      </c>
      <c r="B77" s="288"/>
      <c r="C77" s="172">
        <f>C64+C69+C75</f>
        <v>-5090178.4800000014</v>
      </c>
      <c r="D77" s="172">
        <f>D64+D69+D75</f>
        <v>-3886791.7300000004</v>
      </c>
    </row>
    <row r="78" spans="1:6">
      <c r="C78" s="170"/>
      <c r="D78" s="170"/>
    </row>
    <row r="79" spans="1:6">
      <c r="B79" s="3" t="s">
        <v>872</v>
      </c>
    </row>
    <row r="81" spans="1:4" ht="13.2">
      <c r="A81" s="95" t="s">
        <v>536</v>
      </c>
      <c r="B81" s="96" t="s">
        <v>420</v>
      </c>
      <c r="D81" s="96" t="s">
        <v>420</v>
      </c>
    </row>
    <row r="82" spans="1:4" ht="13.2">
      <c r="A82" s="95"/>
      <c r="B82" s="96"/>
      <c r="D82" s="96"/>
    </row>
    <row r="83" spans="1:4" ht="13.2">
      <c r="A83" s="95" t="s">
        <v>420</v>
      </c>
      <c r="B83" s="96" t="s">
        <v>420</v>
      </c>
      <c r="D83" s="96" t="s">
        <v>420</v>
      </c>
    </row>
    <row r="84" spans="1:4" ht="13.2">
      <c r="A84" s="11"/>
      <c r="B84" s="11"/>
      <c r="C84" s="16" t="s">
        <v>374</v>
      </c>
      <c r="D84" s="11"/>
    </row>
    <row r="85" spans="1:4" ht="13.2">
      <c r="A85" s="11" t="s">
        <v>420</v>
      </c>
      <c r="B85" s="97" t="s">
        <v>420</v>
      </c>
      <c r="D85" s="97" t="s">
        <v>420</v>
      </c>
    </row>
    <row r="86" spans="1:4" ht="13.2">
      <c r="A86" s="11"/>
      <c r="B86" s="12"/>
      <c r="C86" s="11"/>
      <c r="D86" s="11"/>
    </row>
    <row r="87" spans="1:4" ht="13.2">
      <c r="A87" s="11" t="s">
        <v>420</v>
      </c>
      <c r="B87" s="13" t="s">
        <v>420</v>
      </c>
      <c r="C87" s="11"/>
      <c r="D87" s="97" t="s">
        <v>420</v>
      </c>
    </row>
    <row r="88" spans="1:4" ht="13.2">
      <c r="A88" s="11"/>
      <c r="B88" s="12"/>
      <c r="C88" s="11"/>
    </row>
    <row r="89" spans="1:4" ht="13.2">
      <c r="A89" s="11"/>
      <c r="B89" s="12"/>
      <c r="C89" s="11"/>
    </row>
    <row r="90" spans="1:4" ht="13.2">
      <c r="A90" s="11"/>
      <c r="B90" s="12"/>
      <c r="C90" s="11"/>
      <c r="D90" s="11"/>
    </row>
    <row r="91" spans="1:4" ht="13.2">
      <c r="A91" s="11"/>
      <c r="B91" s="12"/>
      <c r="C91" s="284"/>
      <c r="D91" s="11"/>
    </row>
    <row r="92" spans="1:4" ht="13.2">
      <c r="A92" s="11"/>
      <c r="B92" s="12"/>
      <c r="C92" s="284"/>
      <c r="D92" s="284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04"/>
  <sheetViews>
    <sheetView topLeftCell="A121" workbookViewId="0">
      <selection activeCell="B66" sqref="B66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78" customWidth="1"/>
    <col min="4" max="4" width="15.88671875" style="78" customWidth="1"/>
    <col min="5" max="6" width="13.5546875" style="78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294"/>
      <c r="I1" s="51"/>
    </row>
    <row r="2" spans="1:9" ht="15.6">
      <c r="A2" s="49" t="s">
        <v>873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54" t="s">
        <v>446</v>
      </c>
      <c r="B6" s="312" t="s">
        <v>447</v>
      </c>
      <c r="C6" s="156"/>
      <c r="D6" s="156"/>
      <c r="E6" s="156"/>
      <c r="F6" s="156"/>
      <c r="I6" s="51"/>
    </row>
    <row r="7" spans="1:9">
      <c r="A7" s="10"/>
      <c r="B7" s="64" t="s">
        <v>485</v>
      </c>
      <c r="C7" s="156"/>
      <c r="D7" s="156"/>
      <c r="E7" s="156"/>
      <c r="F7" s="156"/>
      <c r="I7" s="51"/>
    </row>
    <row r="8" spans="1:9">
      <c r="A8" s="10"/>
      <c r="B8" s="138" t="s">
        <v>738</v>
      </c>
      <c r="C8" s="156"/>
      <c r="D8" s="156"/>
      <c r="E8" s="156"/>
      <c r="F8" s="156"/>
      <c r="I8" s="51"/>
    </row>
    <row r="9" spans="1:9">
      <c r="A9" s="10"/>
      <c r="B9" s="138" t="s">
        <v>791</v>
      </c>
      <c r="C9" s="156"/>
      <c r="D9" s="156"/>
      <c r="E9" s="156"/>
      <c r="F9" s="156"/>
      <c r="I9" s="51"/>
    </row>
    <row r="10" spans="1:9">
      <c r="A10" s="10"/>
      <c r="B10" s="138" t="s">
        <v>792</v>
      </c>
      <c r="C10" s="156"/>
      <c r="D10" s="156"/>
      <c r="E10" s="156"/>
      <c r="F10" s="156"/>
      <c r="I10" s="51"/>
    </row>
    <row r="11" spans="1:9">
      <c r="A11" s="10"/>
      <c r="B11" s="138" t="s">
        <v>742</v>
      </c>
      <c r="C11" s="156"/>
      <c r="D11" s="156"/>
      <c r="E11" s="156"/>
      <c r="F11" s="156"/>
      <c r="I11" s="51"/>
    </row>
    <row r="12" spans="1:9">
      <c r="A12" s="54"/>
      <c r="B12" s="313" t="s">
        <v>448</v>
      </c>
      <c r="C12" s="156"/>
      <c r="D12" s="156"/>
      <c r="E12" s="156"/>
      <c r="F12" s="156"/>
      <c r="I12" s="51"/>
    </row>
    <row r="13" spans="1:9">
      <c r="A13" s="18"/>
      <c r="B13" s="314" t="s">
        <v>449</v>
      </c>
      <c r="C13" s="156"/>
      <c r="D13" s="156"/>
      <c r="E13" s="156"/>
      <c r="F13" s="156"/>
      <c r="I13" s="51"/>
    </row>
    <row r="14" spans="1:9">
      <c r="A14" s="18"/>
      <c r="B14" s="64" t="s">
        <v>450</v>
      </c>
      <c r="C14" s="156"/>
      <c r="D14" s="156"/>
      <c r="E14" s="156"/>
      <c r="F14" s="156"/>
      <c r="I14" s="51"/>
    </row>
    <row r="15" spans="1:9">
      <c r="A15" s="54"/>
      <c r="B15" s="313" t="s">
        <v>451</v>
      </c>
      <c r="C15" s="156"/>
      <c r="D15" s="156"/>
      <c r="E15" s="156"/>
      <c r="F15" s="156"/>
      <c r="I15" s="51"/>
    </row>
    <row r="16" spans="1:9">
      <c r="A16" s="18"/>
      <c r="B16" s="314" t="s">
        <v>683</v>
      </c>
      <c r="C16" s="156"/>
      <c r="D16" s="156"/>
      <c r="E16" s="156"/>
      <c r="F16" s="156"/>
      <c r="I16" s="51"/>
    </row>
    <row r="17" spans="1:9">
      <c r="A17" s="18"/>
      <c r="B17" s="313" t="s">
        <v>452</v>
      </c>
      <c r="C17" s="156"/>
      <c r="D17" s="156"/>
      <c r="E17" s="156"/>
      <c r="F17" s="156"/>
      <c r="I17" s="51"/>
    </row>
    <row r="18" spans="1:9">
      <c r="A18" s="18"/>
      <c r="B18" s="314" t="s">
        <v>453</v>
      </c>
      <c r="C18" s="156"/>
      <c r="D18" s="156"/>
      <c r="E18" s="156"/>
      <c r="F18" s="156"/>
      <c r="I18" s="51"/>
    </row>
    <row r="19" spans="1:9">
      <c r="A19" s="18"/>
      <c r="B19" s="314" t="s">
        <v>454</v>
      </c>
      <c r="C19" s="156"/>
      <c r="D19" s="156"/>
      <c r="E19" s="156"/>
      <c r="F19" s="156"/>
      <c r="I19" s="51"/>
    </row>
    <row r="20" spans="1:9">
      <c r="A20" s="18"/>
      <c r="B20" s="314" t="s">
        <v>455</v>
      </c>
      <c r="C20" s="156"/>
      <c r="D20" s="156"/>
      <c r="E20" s="156"/>
      <c r="F20" s="156"/>
      <c r="I20" s="51"/>
    </row>
    <row r="21" spans="1:9">
      <c r="A21" s="18"/>
      <c r="B21" s="313" t="s">
        <v>146</v>
      </c>
      <c r="C21" s="156"/>
      <c r="D21" s="156"/>
      <c r="E21" s="156"/>
      <c r="F21" s="156"/>
      <c r="I21" s="51"/>
    </row>
    <row r="22" spans="1:9">
      <c r="A22" s="18"/>
      <c r="B22" s="138" t="s">
        <v>793</v>
      </c>
      <c r="C22" s="156"/>
      <c r="D22" s="156"/>
      <c r="E22" s="156"/>
      <c r="F22" s="156"/>
      <c r="I22" s="51"/>
    </row>
    <row r="23" spans="1:9">
      <c r="A23" s="18"/>
      <c r="B23" s="313" t="s">
        <v>457</v>
      </c>
      <c r="C23" s="156"/>
      <c r="D23" s="156"/>
      <c r="E23" s="156"/>
      <c r="F23" s="156"/>
      <c r="I23" s="51"/>
    </row>
    <row r="24" spans="1:9">
      <c r="A24" s="18"/>
      <c r="B24" s="314" t="s">
        <v>458</v>
      </c>
      <c r="C24" s="156"/>
      <c r="D24" s="156"/>
      <c r="E24" s="156"/>
      <c r="F24" s="156"/>
      <c r="I24" s="51"/>
    </row>
    <row r="25" spans="1:9">
      <c r="A25" s="18"/>
      <c r="B25" s="64" t="s">
        <v>496</v>
      </c>
      <c r="C25" s="156"/>
      <c r="D25" s="156"/>
      <c r="E25" s="156"/>
      <c r="F25" s="156"/>
      <c r="I25" s="51"/>
    </row>
    <row r="26" spans="1:9">
      <c r="A26" s="18"/>
      <c r="B26" s="314" t="s">
        <v>497</v>
      </c>
      <c r="C26" s="156"/>
      <c r="D26" s="156"/>
      <c r="E26" s="156"/>
      <c r="F26" s="156"/>
      <c r="I26" s="51"/>
    </row>
    <row r="27" spans="1:9">
      <c r="A27" s="18"/>
      <c r="B27" s="312" t="s">
        <v>537</v>
      </c>
      <c r="C27" s="156"/>
      <c r="D27" s="156"/>
      <c r="E27" s="156"/>
      <c r="F27" s="156"/>
      <c r="I27" s="51"/>
    </row>
    <row r="28" spans="1:9">
      <c r="A28" s="18"/>
      <c r="B28" s="314" t="s">
        <v>684</v>
      </c>
      <c r="C28" s="156"/>
      <c r="D28" s="156"/>
      <c r="E28" s="156"/>
      <c r="F28" s="156"/>
      <c r="I28" s="51"/>
    </row>
    <row r="29" spans="1:9">
      <c r="A29" s="18"/>
      <c r="B29" s="138"/>
      <c r="C29" s="156"/>
      <c r="D29" s="156"/>
      <c r="E29" s="156"/>
      <c r="F29" s="156"/>
      <c r="I29" s="51"/>
    </row>
    <row r="30" spans="1:9">
      <c r="A30" s="18"/>
      <c r="B30" s="314"/>
      <c r="C30" s="156"/>
      <c r="D30" s="156"/>
      <c r="E30" s="156"/>
      <c r="F30" s="156"/>
      <c r="I30" s="51"/>
    </row>
    <row r="31" spans="1:9">
      <c r="A31" s="18"/>
      <c r="B31" s="314"/>
      <c r="C31" s="156"/>
      <c r="D31" s="156"/>
      <c r="E31" s="156"/>
      <c r="F31" s="156"/>
      <c r="I31" s="51"/>
    </row>
    <row r="32" spans="1:9">
      <c r="A32" s="56" t="s">
        <v>459</v>
      </c>
      <c r="B32" s="312" t="s">
        <v>460</v>
      </c>
      <c r="C32" s="156"/>
      <c r="D32" s="156"/>
      <c r="E32" s="156"/>
      <c r="F32" s="156"/>
      <c r="I32" s="51"/>
    </row>
    <row r="33" spans="1:11">
      <c r="A33" s="56"/>
      <c r="B33" s="312"/>
      <c r="C33" s="156"/>
      <c r="D33" s="156"/>
      <c r="E33" s="162"/>
      <c r="F33" s="156"/>
      <c r="I33" s="51"/>
    </row>
    <row r="34" spans="1:11" ht="14.4">
      <c r="A34" s="56"/>
      <c r="B34" s="313" t="s">
        <v>461</v>
      </c>
      <c r="C34" s="315" t="s">
        <v>874</v>
      </c>
      <c r="D34" s="315" t="s">
        <v>843</v>
      </c>
      <c r="E34" s="156"/>
      <c r="F34" s="156"/>
      <c r="I34" s="51"/>
    </row>
    <row r="35" spans="1:11" ht="14.4">
      <c r="A35" s="56"/>
      <c r="B35" s="64" t="s">
        <v>463</v>
      </c>
      <c r="C35" s="316">
        <f>'Saldobalanse 2018'!C147+'Saldobalanse 2018'!C148+'Saldobalanse 2018'!C149+'Saldobalanse 2018'!C150+'Saldobalanse 2018'!C151+'Saldobalanse 2018'!C152+'Saldobalanse 2018'!C153+'Saldobalanse 2018'!C154+'Saldobalanse 2018'!C155+'Saldobalanse 2018'!C156+'Saldobalanse 2018'!C158+'Saldobalanse 2018'!C159</f>
        <v>949850.40999999992</v>
      </c>
      <c r="D35" s="317">
        <f>'Saldobalanse 2018'!F147+'Saldobalanse 2018'!F148+'Saldobalanse 2018'!F149+'Saldobalanse 2018'!F150+'Saldobalanse 2018'!F151+'Saldobalanse 2018'!F152+'Saldobalanse 2018'!F153+'Saldobalanse 2018'!F154+'Saldobalanse 2018'!F155+'Saldobalanse 2018'!F156+'Saldobalanse 2018'!F158+'Saldobalanse 2018'!F159</f>
        <v>1004510.4</v>
      </c>
      <c r="E35" s="156"/>
      <c r="F35" s="156"/>
      <c r="G35" s="293"/>
      <c r="I35" s="51"/>
    </row>
    <row r="36" spans="1:11">
      <c r="A36" s="56"/>
      <c r="B36" s="64" t="s">
        <v>232</v>
      </c>
      <c r="C36" s="317">
        <f>'Saldobalanse 2018'!C160+'Saldobalanse 2018'!C161</f>
        <v>146966.93</v>
      </c>
      <c r="D36" s="317">
        <f>'Saldobalanse 2018'!F160+'Saldobalanse 2018'!F161</f>
        <v>138876.47</v>
      </c>
      <c r="E36" s="156"/>
      <c r="F36" s="156"/>
      <c r="I36" s="51"/>
    </row>
    <row r="37" spans="1:11">
      <c r="A37" s="56"/>
      <c r="B37" s="64" t="s">
        <v>464</v>
      </c>
      <c r="C37" s="317">
        <f>'Saldobalanse 2018'!C167</f>
        <v>9170.1</v>
      </c>
      <c r="D37" s="317">
        <f>'Saldobalanse 2018'!F167</f>
        <v>8360.5300000000007</v>
      </c>
      <c r="E37" s="156"/>
      <c r="F37" s="156"/>
      <c r="I37" s="51"/>
    </row>
    <row r="38" spans="1:11">
      <c r="A38" s="56"/>
      <c r="B38" s="64" t="s">
        <v>465</v>
      </c>
      <c r="C38" s="318">
        <f>'Saldobalanse 2018'!C157+'Saldobalanse 2018'!C165+'Saldobalanse 2018'!C166+'Saldobalanse 2018'!C168</f>
        <v>58909.83</v>
      </c>
      <c r="D38" s="318">
        <f>'Saldobalanse 2018'!F157+'Saldobalanse 2018'!F165+'Saldobalanse 2018'!F166+'Saldobalanse 2018'!F168</f>
        <v>17149.080000000002</v>
      </c>
      <c r="E38" s="156"/>
      <c r="F38" s="156"/>
      <c r="I38" s="51"/>
    </row>
    <row r="39" spans="1:11">
      <c r="A39" s="56"/>
      <c r="B39" s="64" t="s">
        <v>466</v>
      </c>
      <c r="C39" s="317">
        <f>SUM(C35:C38)</f>
        <v>1164897.27</v>
      </c>
      <c r="D39" s="317">
        <f>SUM(D35:D38)</f>
        <v>1168896.4800000002</v>
      </c>
      <c r="E39" s="156"/>
      <c r="F39" s="156"/>
      <c r="H39" s="147"/>
      <c r="I39" s="147"/>
      <c r="J39" s="147"/>
      <c r="K39" s="147"/>
    </row>
    <row r="40" spans="1:11">
      <c r="A40" s="56"/>
      <c r="B40" s="64"/>
      <c r="C40" s="319"/>
      <c r="D40" s="319"/>
      <c r="E40" s="162"/>
      <c r="F40" s="319"/>
      <c r="H40" s="147"/>
      <c r="I40" s="147"/>
      <c r="J40" s="147"/>
      <c r="K40" s="147"/>
    </row>
    <row r="41" spans="1:11">
      <c r="A41" s="56"/>
      <c r="B41" s="138" t="s">
        <v>875</v>
      </c>
      <c r="C41" s="156"/>
      <c r="D41" s="156"/>
      <c r="E41" s="156"/>
      <c r="F41" s="156"/>
      <c r="H41" s="147"/>
      <c r="I41" s="147"/>
      <c r="J41" s="147"/>
      <c r="K41" s="147"/>
    </row>
    <row r="42" spans="1:11">
      <c r="B42" s="320" t="s">
        <v>876</v>
      </c>
      <c r="C42" s="156"/>
      <c r="D42" s="156"/>
      <c r="E42" s="156"/>
      <c r="F42" s="156"/>
      <c r="H42" s="147"/>
      <c r="I42" s="147"/>
      <c r="J42" s="147"/>
      <c r="K42" s="147"/>
    </row>
    <row r="43" spans="1:11">
      <c r="B43" s="138" t="s">
        <v>877</v>
      </c>
      <c r="C43" s="156"/>
      <c r="D43" s="156"/>
      <c r="E43" s="156"/>
      <c r="F43" s="156" t="s">
        <v>374</v>
      </c>
      <c r="H43" s="147"/>
      <c r="I43" s="147"/>
      <c r="J43" s="147"/>
      <c r="K43" s="147"/>
    </row>
    <row r="44" spans="1:11">
      <c r="B44" s="138" t="s">
        <v>879</v>
      </c>
      <c r="C44" s="156"/>
      <c r="D44" s="156"/>
      <c r="E44" s="156"/>
      <c r="F44" s="156"/>
      <c r="H44" s="147"/>
      <c r="I44" s="147"/>
      <c r="J44" s="147"/>
      <c r="K44" s="147"/>
    </row>
    <row r="45" spans="1:11">
      <c r="B45" s="138" t="s">
        <v>878</v>
      </c>
      <c r="C45" s="156"/>
      <c r="D45" s="156"/>
      <c r="E45" s="296"/>
      <c r="F45" s="156"/>
      <c r="I45" s="148"/>
      <c r="J45" s="147"/>
      <c r="K45" s="147"/>
    </row>
    <row r="46" spans="1:11">
      <c r="B46" s="64"/>
      <c r="C46" s="156"/>
      <c r="D46" s="156"/>
      <c r="E46" s="156"/>
      <c r="F46" s="156"/>
      <c r="I46" s="51"/>
    </row>
    <row r="47" spans="1:11">
      <c r="B47" s="64" t="s">
        <v>467</v>
      </c>
      <c r="C47" s="156"/>
      <c r="D47" s="156"/>
      <c r="E47" s="156"/>
      <c r="F47" s="156"/>
      <c r="I47" s="51"/>
    </row>
    <row r="48" spans="1:11">
      <c r="B48" s="64" t="s">
        <v>468</v>
      </c>
      <c r="C48" s="156"/>
      <c r="D48" s="156"/>
      <c r="E48" s="156"/>
      <c r="F48" s="156"/>
      <c r="I48" s="51"/>
    </row>
    <row r="49" spans="1:10">
      <c r="B49" s="64"/>
      <c r="C49" s="156"/>
      <c r="D49" s="156"/>
      <c r="E49" s="156"/>
      <c r="F49" s="156"/>
      <c r="I49" s="51"/>
    </row>
    <row r="50" spans="1:10">
      <c r="B50" s="64"/>
      <c r="C50" s="156"/>
      <c r="D50" s="156"/>
      <c r="E50" s="156"/>
      <c r="F50" s="156"/>
      <c r="I50" s="51"/>
    </row>
    <row r="51" spans="1:10">
      <c r="A51" s="56" t="s">
        <v>469</v>
      </c>
      <c r="B51" s="312" t="s">
        <v>470</v>
      </c>
      <c r="C51" s="297"/>
      <c r="D51" s="297"/>
      <c r="E51" s="297"/>
      <c r="F51" s="162"/>
      <c r="G51" s="57"/>
      <c r="I51" s="51"/>
    </row>
    <row r="52" spans="1:10">
      <c r="A52" s="56"/>
      <c r="B52" s="312"/>
      <c r="C52" s="297"/>
      <c r="D52" s="297"/>
      <c r="E52" s="297"/>
      <c r="F52" s="162"/>
      <c r="G52" s="57"/>
      <c r="I52" s="51"/>
    </row>
    <row r="53" spans="1:10">
      <c r="A53" s="57"/>
      <c r="B53" s="313" t="s">
        <v>508</v>
      </c>
      <c r="C53" s="162"/>
      <c r="D53" s="162"/>
      <c r="E53" s="162"/>
      <c r="F53" s="162"/>
      <c r="G53" s="57"/>
      <c r="I53" s="51"/>
    </row>
    <row r="54" spans="1:10">
      <c r="A54" s="57"/>
      <c r="B54" s="138" t="s">
        <v>880</v>
      </c>
      <c r="C54" s="162"/>
      <c r="D54" s="298">
        <v>1287790</v>
      </c>
      <c r="E54" s="156"/>
      <c r="F54" s="162"/>
      <c r="G54" s="57"/>
      <c r="I54" s="51"/>
    </row>
    <row r="55" spans="1:10">
      <c r="A55" s="57"/>
      <c r="B55" s="64" t="s">
        <v>511</v>
      </c>
      <c r="C55" s="162"/>
      <c r="D55" s="162"/>
      <c r="E55" s="298"/>
      <c r="F55" s="162"/>
      <c r="G55" s="57"/>
      <c r="I55" s="51"/>
    </row>
    <row r="56" spans="1:10">
      <c r="A56" s="57"/>
      <c r="B56" s="72" t="s">
        <v>509</v>
      </c>
      <c r="C56" s="298"/>
      <c r="D56" s="162"/>
      <c r="E56" s="162"/>
      <c r="F56" s="162"/>
      <c r="G56" s="57"/>
      <c r="I56" s="51"/>
    </row>
    <row r="57" spans="1:10">
      <c r="A57" s="57"/>
      <c r="B57" s="64" t="s">
        <v>510</v>
      </c>
      <c r="C57" s="298"/>
      <c r="D57" s="162"/>
      <c r="E57" s="162"/>
      <c r="F57" s="162"/>
      <c r="G57" s="57"/>
      <c r="I57" s="51"/>
    </row>
    <row r="58" spans="1:10">
      <c r="A58" s="57"/>
      <c r="B58" s="64" t="s">
        <v>540</v>
      </c>
      <c r="C58" s="298"/>
      <c r="D58" s="162"/>
      <c r="E58" s="162"/>
      <c r="F58" s="162"/>
      <c r="G58" s="57"/>
      <c r="I58" s="51"/>
    </row>
    <row r="59" spans="1:10">
      <c r="A59" s="57"/>
      <c r="B59" s="138" t="s">
        <v>731</v>
      </c>
      <c r="C59" s="298"/>
      <c r="D59" s="162"/>
      <c r="E59" s="162"/>
      <c r="F59" s="162"/>
      <c r="G59" s="57"/>
      <c r="I59" s="51"/>
    </row>
    <row r="60" spans="1:10">
      <c r="A60" s="57"/>
      <c r="B60" s="138" t="s">
        <v>736</v>
      </c>
      <c r="C60" s="298"/>
      <c r="D60" s="299">
        <v>15714306</v>
      </c>
      <c r="E60" s="162"/>
      <c r="F60" s="162"/>
      <c r="G60" s="82"/>
      <c r="I60" s="51"/>
    </row>
    <row r="61" spans="1:10">
      <c r="A61" s="57"/>
      <c r="B61" s="138" t="s">
        <v>732</v>
      </c>
      <c r="C61" s="298"/>
      <c r="D61" s="299">
        <v>11789221</v>
      </c>
      <c r="E61" s="162"/>
      <c r="F61" s="162"/>
      <c r="G61" s="82"/>
      <c r="I61" s="51"/>
    </row>
    <row r="62" spans="1:10">
      <c r="A62" s="57"/>
      <c r="B62" s="138" t="s">
        <v>733</v>
      </c>
      <c r="C62" s="298"/>
      <c r="D62" s="299">
        <v>4358101</v>
      </c>
      <c r="E62" s="162"/>
      <c r="F62" s="162"/>
      <c r="G62" s="82"/>
      <c r="I62" s="51"/>
    </row>
    <row r="63" spans="1:10">
      <c r="A63" s="57"/>
      <c r="B63" s="138" t="s">
        <v>734</v>
      </c>
      <c r="C63" s="298"/>
      <c r="D63" s="300">
        <v>2109291</v>
      </c>
      <c r="E63" s="162"/>
      <c r="F63" s="162"/>
      <c r="G63" s="82"/>
      <c r="I63" s="51"/>
    </row>
    <row r="64" spans="1:10">
      <c r="A64" s="57"/>
      <c r="B64" s="138" t="s">
        <v>735</v>
      </c>
      <c r="C64" s="298"/>
      <c r="D64" s="162">
        <f>SUM(D60:D63)</f>
        <v>33970919</v>
      </c>
      <c r="E64" s="162"/>
      <c r="F64" s="162"/>
      <c r="G64" s="57"/>
      <c r="I64" s="51"/>
      <c r="J64" s="149"/>
    </row>
    <row r="65" spans="1:10">
      <c r="A65" s="57"/>
      <c r="B65" s="138"/>
      <c r="C65" s="298"/>
      <c r="D65" s="162"/>
      <c r="E65" s="162"/>
      <c r="F65" s="162"/>
      <c r="G65" s="57"/>
      <c r="I65" s="51"/>
      <c r="J65" s="149"/>
    </row>
    <row r="66" spans="1:10">
      <c r="A66" s="57"/>
      <c r="B66" s="138" t="s">
        <v>825</v>
      </c>
      <c r="C66" s="298"/>
      <c r="D66" s="162">
        <v>1321525</v>
      </c>
      <c r="E66" s="162"/>
      <c r="F66" s="162"/>
      <c r="G66" s="57"/>
      <c r="I66" s="51"/>
      <c r="J66" s="149"/>
    </row>
    <row r="67" spans="1:10">
      <c r="A67" s="57"/>
      <c r="B67" s="138"/>
      <c r="C67" s="298"/>
      <c r="D67" s="162"/>
      <c r="E67" s="162"/>
      <c r="F67" s="162"/>
      <c r="G67" s="57"/>
      <c r="I67" s="51"/>
    </row>
    <row r="68" spans="1:10">
      <c r="A68" s="57"/>
      <c r="B68" s="313" t="s">
        <v>512</v>
      </c>
      <c r="C68" s="298"/>
      <c r="D68" s="162"/>
      <c r="E68" s="162"/>
      <c r="F68" s="162"/>
      <c r="G68" s="57"/>
      <c r="I68" s="51"/>
    </row>
    <row r="69" spans="1:10">
      <c r="A69" s="57"/>
      <c r="B69" s="138" t="s">
        <v>880</v>
      </c>
      <c r="C69" s="162"/>
      <c r="D69" s="298">
        <v>45000</v>
      </c>
      <c r="E69" s="156"/>
      <c r="F69" s="162"/>
      <c r="G69" s="57"/>
      <c r="I69" s="51"/>
    </row>
    <row r="70" spans="1:10">
      <c r="A70" s="57"/>
      <c r="B70" s="64" t="s">
        <v>541</v>
      </c>
      <c r="C70" s="162"/>
      <c r="D70" s="162"/>
      <c r="E70" s="298"/>
      <c r="F70" s="162"/>
      <c r="G70" s="57"/>
      <c r="I70" s="51"/>
    </row>
    <row r="71" spans="1:10">
      <c r="A71" s="57"/>
      <c r="B71" s="64" t="s">
        <v>540</v>
      </c>
      <c r="C71" s="298"/>
      <c r="D71" s="162"/>
      <c r="E71" s="162"/>
      <c r="F71" s="162"/>
      <c r="G71" s="57"/>
      <c r="I71" s="51"/>
    </row>
    <row r="72" spans="1:10">
      <c r="A72" s="57"/>
      <c r="B72" s="138" t="s">
        <v>894</v>
      </c>
      <c r="C72" s="298"/>
      <c r="D72" s="162"/>
      <c r="E72" s="162"/>
      <c r="F72" s="162"/>
      <c r="G72" s="57"/>
      <c r="I72" s="51"/>
    </row>
    <row r="73" spans="1:10">
      <c r="A73" s="57"/>
      <c r="B73" s="64"/>
      <c r="C73" s="298"/>
      <c r="D73" s="162"/>
      <c r="E73" s="162"/>
      <c r="F73" s="162"/>
      <c r="G73" s="57"/>
      <c r="I73" s="51"/>
    </row>
    <row r="74" spans="1:10">
      <c r="A74" s="57"/>
      <c r="B74" s="313" t="s">
        <v>513</v>
      </c>
      <c r="C74" s="298"/>
      <c r="D74" s="162"/>
      <c r="E74" s="162"/>
      <c r="F74" s="162"/>
      <c r="G74" s="57"/>
      <c r="I74" s="51"/>
    </row>
    <row r="75" spans="1:10">
      <c r="A75" s="57"/>
      <c r="B75" s="64" t="s">
        <v>514</v>
      </c>
      <c r="C75" s="162"/>
      <c r="D75" s="298">
        <v>132876</v>
      </c>
      <c r="E75" s="156"/>
      <c r="F75" s="162"/>
      <c r="G75" s="57"/>
      <c r="I75" s="51"/>
    </row>
    <row r="76" spans="1:10">
      <c r="A76" s="57"/>
      <c r="B76" s="64" t="s">
        <v>472</v>
      </c>
      <c r="C76" s="162"/>
      <c r="D76" s="301">
        <v>-112946</v>
      </c>
      <c r="E76" s="156"/>
      <c r="F76" s="162"/>
      <c r="G76" s="57"/>
      <c r="I76" s="51"/>
    </row>
    <row r="77" spans="1:10">
      <c r="A77" s="57"/>
      <c r="B77" s="64" t="s">
        <v>505</v>
      </c>
      <c r="C77" s="162"/>
      <c r="D77" s="302">
        <v>-19930</v>
      </c>
      <c r="E77" s="156" t="s">
        <v>374</v>
      </c>
      <c r="F77" s="162"/>
      <c r="G77" s="57"/>
      <c r="I77" s="51" t="s">
        <v>374</v>
      </c>
    </row>
    <row r="78" spans="1:10">
      <c r="A78" s="57"/>
      <c r="B78" s="138" t="s">
        <v>880</v>
      </c>
      <c r="C78" s="162"/>
      <c r="D78" s="298">
        <f>SUM(D75:D77)</f>
        <v>0</v>
      </c>
      <c r="E78" s="156"/>
      <c r="F78" s="162"/>
      <c r="G78" s="57"/>
      <c r="I78" s="51"/>
    </row>
    <row r="79" spans="1:10">
      <c r="A79" s="57"/>
      <c r="B79" s="72" t="s">
        <v>515</v>
      </c>
      <c r="C79" s="298"/>
      <c r="D79" s="162"/>
      <c r="E79" s="156"/>
      <c r="F79" s="162"/>
      <c r="G79" s="57"/>
      <c r="I79" s="51"/>
    </row>
    <row r="80" spans="1:10">
      <c r="A80" s="57"/>
      <c r="B80" s="72"/>
      <c r="C80" s="298"/>
      <c r="D80" s="162"/>
      <c r="E80" s="156"/>
      <c r="F80" s="162"/>
      <c r="G80" s="57"/>
      <c r="I80" s="51"/>
    </row>
    <row r="81" spans="1:9">
      <c r="A81" s="72"/>
      <c r="B81" s="72"/>
      <c r="C81" s="298"/>
      <c r="D81" s="162"/>
      <c r="E81" s="156"/>
      <c r="F81" s="162"/>
      <c r="G81" s="57"/>
      <c r="I81" s="51"/>
    </row>
    <row r="82" spans="1:9">
      <c r="A82" s="163" t="s">
        <v>474</v>
      </c>
      <c r="B82" s="163" t="s">
        <v>523</v>
      </c>
      <c r="C82" s="298"/>
      <c r="D82" s="162"/>
      <c r="E82" s="156"/>
      <c r="F82" s="162"/>
      <c r="G82" s="57"/>
      <c r="I82" s="51"/>
    </row>
    <row r="83" spans="1:9">
      <c r="A83" s="72"/>
      <c r="B83" s="64"/>
      <c r="C83" s="298"/>
      <c r="D83" s="162"/>
      <c r="E83" s="156"/>
      <c r="F83" s="162"/>
      <c r="G83" s="57"/>
      <c r="I83" s="51"/>
    </row>
    <row r="84" spans="1:9">
      <c r="A84" s="72"/>
      <c r="B84" s="312" t="s">
        <v>716</v>
      </c>
      <c r="C84" s="298"/>
      <c r="D84" s="162"/>
      <c r="E84" s="156"/>
      <c r="F84" s="162"/>
      <c r="G84" s="57"/>
      <c r="I84" s="51"/>
    </row>
    <row r="85" spans="1:9">
      <c r="A85" s="72"/>
      <c r="B85" s="138" t="s">
        <v>719</v>
      </c>
      <c r="C85" s="298"/>
      <c r="D85" s="162">
        <v>21894</v>
      </c>
      <c r="E85" s="156"/>
      <c r="F85" s="162"/>
      <c r="G85" s="57"/>
      <c r="I85" s="51"/>
    </row>
    <row r="86" spans="1:9">
      <c r="A86" s="72"/>
      <c r="B86" s="138" t="s">
        <v>801</v>
      </c>
      <c r="C86" s="298"/>
      <c r="D86" s="162">
        <v>-7721</v>
      </c>
      <c r="E86" s="156"/>
      <c r="F86" s="162"/>
      <c r="G86" s="57"/>
      <c r="I86" s="51"/>
    </row>
    <row r="87" spans="1:9">
      <c r="A87" s="72"/>
      <c r="B87" s="138" t="s">
        <v>721</v>
      </c>
      <c r="C87" s="298"/>
      <c r="D87" s="321">
        <v>-5088</v>
      </c>
      <c r="E87" s="156"/>
      <c r="F87" s="162"/>
      <c r="G87" s="57"/>
      <c r="I87" s="51"/>
    </row>
    <row r="88" spans="1:9">
      <c r="A88" s="72"/>
      <c r="B88" s="138" t="s">
        <v>880</v>
      </c>
      <c r="C88" s="298"/>
      <c r="D88" s="162">
        <f>SUM(D85:D87)</f>
        <v>9085</v>
      </c>
      <c r="E88" s="156"/>
      <c r="F88" s="162"/>
      <c r="G88" s="57"/>
      <c r="I88" s="51"/>
    </row>
    <row r="89" spans="1:9">
      <c r="A89" s="72"/>
      <c r="B89" s="138" t="s">
        <v>717</v>
      </c>
      <c r="C89" s="298"/>
      <c r="D89" s="162"/>
      <c r="E89" s="162"/>
      <c r="F89" s="162"/>
      <c r="G89" s="57"/>
      <c r="I89" s="51"/>
    </row>
    <row r="90" spans="1:9">
      <c r="A90" s="72"/>
      <c r="B90" s="64"/>
      <c r="C90" s="298"/>
      <c r="D90" s="162"/>
      <c r="E90" s="162"/>
      <c r="F90" s="162"/>
      <c r="G90" s="57"/>
      <c r="I90" s="51"/>
    </row>
    <row r="91" spans="1:9">
      <c r="A91" s="72"/>
      <c r="B91" s="312" t="s">
        <v>718</v>
      </c>
      <c r="C91" s="298"/>
      <c r="D91" s="162"/>
      <c r="E91" s="162"/>
      <c r="F91" s="162"/>
      <c r="G91" s="57"/>
      <c r="I91" s="51"/>
    </row>
    <row r="92" spans="1:9">
      <c r="A92" s="72"/>
      <c r="B92" s="138" t="s">
        <v>720</v>
      </c>
      <c r="C92" s="298"/>
      <c r="D92" s="299">
        <v>75000</v>
      </c>
      <c r="E92" s="162"/>
      <c r="F92" s="162"/>
      <c r="G92" s="57"/>
      <c r="I92" s="51"/>
    </row>
    <row r="93" spans="1:9">
      <c r="A93" s="72"/>
      <c r="B93" s="138" t="s">
        <v>800</v>
      </c>
      <c r="C93" s="298"/>
      <c r="D93" s="299">
        <v>-32500</v>
      </c>
      <c r="E93" s="162"/>
      <c r="F93" s="162"/>
      <c r="G93" s="57"/>
      <c r="I93" s="51"/>
    </row>
    <row r="94" spans="1:9">
      <c r="A94" s="72"/>
      <c r="B94" s="138" t="s">
        <v>721</v>
      </c>
      <c r="C94" s="298"/>
      <c r="D94" s="300">
        <v>-15000</v>
      </c>
      <c r="E94" s="162"/>
      <c r="F94" s="162"/>
      <c r="G94" s="57"/>
      <c r="I94" s="51"/>
    </row>
    <row r="95" spans="1:9">
      <c r="A95" s="72"/>
      <c r="B95" s="138" t="s">
        <v>880</v>
      </c>
      <c r="C95" s="298"/>
      <c r="D95" s="299">
        <f>SUM(D92:D94)</f>
        <v>27500</v>
      </c>
      <c r="E95" s="299"/>
      <c r="F95" s="162"/>
      <c r="G95" s="57"/>
      <c r="I95" s="51"/>
    </row>
    <row r="96" spans="1:9">
      <c r="A96" s="72"/>
      <c r="B96" s="138" t="s">
        <v>722</v>
      </c>
      <c r="C96" s="298"/>
      <c r="D96" s="162"/>
      <c r="E96" s="162"/>
      <c r="F96" s="162"/>
      <c r="G96" s="57"/>
      <c r="I96" s="51"/>
    </row>
    <row r="97" spans="1:9">
      <c r="A97" s="72"/>
      <c r="B97" s="64"/>
      <c r="C97" s="298"/>
      <c r="D97" s="162"/>
      <c r="E97" s="162"/>
      <c r="F97" s="162"/>
      <c r="G97" s="57"/>
      <c r="I97" s="51"/>
    </row>
    <row r="98" spans="1:9">
      <c r="A98" s="72"/>
      <c r="B98" s="312" t="s">
        <v>723</v>
      </c>
      <c r="C98" s="298"/>
      <c r="D98" s="162"/>
      <c r="E98" s="162"/>
      <c r="F98" s="162"/>
      <c r="G98" s="57"/>
      <c r="I98" s="51"/>
    </row>
    <row r="99" spans="1:9">
      <c r="A99" s="72"/>
      <c r="B99" s="138" t="s">
        <v>802</v>
      </c>
      <c r="C99" s="298"/>
      <c r="D99" s="299">
        <v>183774.94</v>
      </c>
      <c r="E99" s="162"/>
      <c r="F99" s="162"/>
      <c r="G99" s="57"/>
      <c r="I99" s="51"/>
    </row>
    <row r="100" spans="1:9">
      <c r="A100" s="72"/>
      <c r="B100" s="138" t="s">
        <v>724</v>
      </c>
      <c r="C100" s="298"/>
      <c r="D100" s="299">
        <v>-60000</v>
      </c>
      <c r="E100" s="162"/>
      <c r="F100" s="162"/>
      <c r="G100" s="57"/>
      <c r="I100" s="51"/>
    </row>
    <row r="101" spans="1:9">
      <c r="A101" s="72"/>
      <c r="B101" s="138" t="s">
        <v>801</v>
      </c>
      <c r="C101" s="298"/>
      <c r="D101" s="322">
        <v>-55706</v>
      </c>
      <c r="E101" s="162"/>
      <c r="F101" s="162"/>
      <c r="G101" s="57"/>
      <c r="I101" s="51"/>
    </row>
    <row r="102" spans="1:9">
      <c r="A102" s="72"/>
      <c r="B102" s="138" t="s">
        <v>721</v>
      </c>
      <c r="C102" s="298"/>
      <c r="D102" s="300">
        <v>-24755</v>
      </c>
      <c r="E102" s="162"/>
      <c r="F102" s="162"/>
      <c r="G102" s="57"/>
      <c r="I102" s="51"/>
    </row>
    <row r="103" spans="1:9">
      <c r="A103" s="72"/>
      <c r="B103" s="138" t="s">
        <v>880</v>
      </c>
      <c r="C103" s="298"/>
      <c r="D103" s="299">
        <f>SUM(D99:D102)</f>
        <v>43313.94</v>
      </c>
      <c r="E103" s="299"/>
      <c r="F103" s="162"/>
      <c r="G103" s="57"/>
      <c r="I103" s="51"/>
    </row>
    <row r="104" spans="1:9">
      <c r="A104" s="72"/>
      <c r="B104" s="138" t="s">
        <v>725</v>
      </c>
      <c r="C104" s="298"/>
      <c r="D104" s="162"/>
      <c r="E104" s="162"/>
      <c r="F104" s="162"/>
      <c r="G104" s="57"/>
      <c r="I104" s="51"/>
    </row>
    <row r="105" spans="1:9" ht="13.5" customHeight="1">
      <c r="A105" s="72"/>
      <c r="B105" s="138"/>
      <c r="C105" s="298"/>
      <c r="D105" s="162"/>
      <c r="E105" s="162"/>
      <c r="F105" s="162"/>
      <c r="G105" s="57"/>
      <c r="I105" s="51"/>
    </row>
    <row r="106" spans="1:9">
      <c r="A106" s="72"/>
      <c r="B106" s="312" t="s">
        <v>850</v>
      </c>
      <c r="C106" s="298"/>
      <c r="D106" s="162"/>
      <c r="E106" s="162"/>
      <c r="F106" s="162"/>
      <c r="G106" s="57"/>
      <c r="I106" s="51"/>
    </row>
    <row r="107" spans="1:9">
      <c r="A107" s="72"/>
      <c r="B107" s="138" t="s">
        <v>851</v>
      </c>
      <c r="C107" s="298"/>
      <c r="D107" s="162">
        <v>62110</v>
      </c>
      <c r="E107" s="162"/>
      <c r="F107" s="162"/>
      <c r="G107" s="57"/>
      <c r="I107" s="51"/>
    </row>
    <row r="108" spans="1:9">
      <c r="A108" s="72"/>
      <c r="B108" s="138" t="s">
        <v>801</v>
      </c>
      <c r="C108" s="298"/>
      <c r="D108" s="323">
        <v>-6901</v>
      </c>
      <c r="E108" s="162"/>
      <c r="F108" s="162"/>
      <c r="G108" s="57"/>
      <c r="I108" s="51"/>
    </row>
    <row r="109" spans="1:9" ht="13.8" thickBot="1">
      <c r="A109" s="72"/>
      <c r="B109" s="138" t="s">
        <v>721</v>
      </c>
      <c r="C109" s="298"/>
      <c r="D109" s="324">
        <v>-20703</v>
      </c>
      <c r="E109" s="162"/>
      <c r="F109" s="162"/>
      <c r="G109" s="57"/>
      <c r="I109" s="51"/>
    </row>
    <row r="110" spans="1:9">
      <c r="A110" s="72"/>
      <c r="B110" s="138" t="s">
        <v>880</v>
      </c>
      <c r="C110" s="298"/>
      <c r="D110" s="162">
        <f>SUM(D107:D109)</f>
        <v>34506</v>
      </c>
      <c r="E110" s="162"/>
      <c r="F110" s="162"/>
      <c r="G110" s="57"/>
      <c r="I110" s="51"/>
    </row>
    <row r="111" spans="1:9">
      <c r="A111" s="72"/>
      <c r="B111" s="138" t="s">
        <v>852</v>
      </c>
      <c r="C111" s="298"/>
      <c r="D111" s="162"/>
      <c r="E111" s="162"/>
      <c r="F111" s="162"/>
      <c r="G111" s="57"/>
      <c r="I111" s="51"/>
    </row>
    <row r="112" spans="1:9">
      <c r="A112" s="72"/>
      <c r="B112" s="138"/>
      <c r="C112" s="298"/>
      <c r="D112" s="162"/>
      <c r="E112" s="162"/>
      <c r="F112" s="162"/>
      <c r="G112" s="57"/>
      <c r="I112" s="51"/>
    </row>
    <row r="113" spans="1:9">
      <c r="A113" s="72"/>
      <c r="B113" s="312" t="s">
        <v>864</v>
      </c>
      <c r="C113" s="298"/>
      <c r="D113" s="162"/>
      <c r="E113" s="162"/>
      <c r="F113" s="162"/>
      <c r="G113" s="57"/>
      <c r="I113" s="51"/>
    </row>
    <row r="114" spans="1:9">
      <c r="A114" s="72"/>
      <c r="B114" s="138" t="s">
        <v>881</v>
      </c>
      <c r="C114" s="298"/>
      <c r="D114" s="162">
        <v>42986</v>
      </c>
      <c r="E114" s="162"/>
      <c r="F114" s="162"/>
      <c r="G114" s="57"/>
      <c r="I114" s="51"/>
    </row>
    <row r="115" spans="1:9">
      <c r="A115" s="72"/>
      <c r="B115" s="138" t="s">
        <v>801</v>
      </c>
      <c r="C115" s="298"/>
      <c r="D115" s="162">
        <v>0</v>
      </c>
      <c r="E115" s="162"/>
      <c r="F115" s="162"/>
      <c r="G115" s="57"/>
      <c r="I115" s="51"/>
    </row>
    <row r="116" spans="1:9" ht="13.8" thickBot="1">
      <c r="A116" s="72"/>
      <c r="B116" s="138" t="s">
        <v>721</v>
      </c>
      <c r="C116" s="298"/>
      <c r="D116" s="324">
        <v>0</v>
      </c>
      <c r="E116" s="162"/>
      <c r="F116" s="162"/>
      <c r="G116" s="57"/>
      <c r="I116" s="51"/>
    </row>
    <row r="117" spans="1:9">
      <c r="A117" s="72"/>
      <c r="B117" s="138" t="s">
        <v>880</v>
      </c>
      <c r="C117" s="298"/>
      <c r="D117" s="162">
        <f>SUM(D114:D116)</f>
        <v>42986</v>
      </c>
      <c r="E117" s="162"/>
      <c r="F117" s="162"/>
      <c r="G117" s="57"/>
      <c r="I117" s="51"/>
    </row>
    <row r="118" spans="1:9">
      <c r="A118" s="72"/>
      <c r="B118" s="138" t="s">
        <v>882</v>
      </c>
      <c r="C118" s="298"/>
      <c r="D118" s="162"/>
      <c r="E118" s="162"/>
      <c r="F118" s="162"/>
      <c r="G118" s="57"/>
      <c r="I118" s="51"/>
    </row>
    <row r="119" spans="1:9">
      <c r="A119" s="72"/>
      <c r="B119" s="64"/>
      <c r="C119" s="298"/>
      <c r="D119" s="162"/>
      <c r="E119" s="162"/>
      <c r="F119" s="162"/>
      <c r="G119" s="57"/>
      <c r="I119" s="51"/>
    </row>
    <row r="120" spans="1:9">
      <c r="A120" s="163" t="s">
        <v>475</v>
      </c>
      <c r="B120" s="312" t="s">
        <v>476</v>
      </c>
      <c r="C120" s="156"/>
      <c r="D120" s="156"/>
      <c r="E120" s="156"/>
      <c r="F120" s="156"/>
    </row>
    <row r="121" spans="1:9">
      <c r="A121" s="72"/>
      <c r="B121" s="138" t="s">
        <v>883</v>
      </c>
      <c r="C121" s="156"/>
      <c r="D121" s="156"/>
      <c r="E121" s="156"/>
      <c r="F121" s="156"/>
    </row>
    <row r="122" spans="1:9">
      <c r="A122" s="72"/>
      <c r="B122" s="138" t="s">
        <v>884</v>
      </c>
      <c r="C122" s="156"/>
      <c r="D122" s="156"/>
      <c r="E122" s="156"/>
      <c r="F122" s="156"/>
    </row>
    <row r="123" spans="1:9">
      <c r="A123" s="65"/>
      <c r="B123" s="64"/>
      <c r="C123" s="156"/>
      <c r="D123" s="156"/>
      <c r="E123" s="156"/>
      <c r="F123" s="156"/>
    </row>
    <row r="124" spans="1:9">
      <c r="A124" s="65"/>
      <c r="B124" s="64"/>
      <c r="C124" s="156"/>
      <c r="D124" s="156"/>
      <c r="E124" s="156"/>
      <c r="F124" s="156"/>
    </row>
    <row r="125" spans="1:9">
      <c r="A125" s="336" t="s">
        <v>477</v>
      </c>
      <c r="B125" s="312" t="s">
        <v>478</v>
      </c>
      <c r="C125" s="156"/>
      <c r="D125" s="156"/>
      <c r="E125" s="156"/>
      <c r="F125" s="156"/>
    </row>
    <row r="126" spans="1:9">
      <c r="A126" s="65"/>
      <c r="B126" s="72" t="s">
        <v>527</v>
      </c>
      <c r="C126" s="305" t="s">
        <v>885</v>
      </c>
      <c r="D126" s="325" t="s">
        <v>534</v>
      </c>
      <c r="E126" s="326" t="s">
        <v>886</v>
      </c>
      <c r="F126" s="162"/>
      <c r="I126" s="51"/>
    </row>
    <row r="127" spans="1:9">
      <c r="A127" s="65"/>
      <c r="B127" s="72" t="s">
        <v>528</v>
      </c>
      <c r="C127" s="162">
        <v>-541013.30000000005</v>
      </c>
      <c r="D127" s="162"/>
      <c r="E127" s="298">
        <f>C127</f>
        <v>-541013.30000000005</v>
      </c>
      <c r="F127" s="162"/>
      <c r="I127" s="51"/>
    </row>
    <row r="128" spans="1:9">
      <c r="A128" s="65"/>
      <c r="B128" s="327" t="s">
        <v>126</v>
      </c>
      <c r="C128" s="321">
        <v>-96296.55</v>
      </c>
      <c r="D128" s="321"/>
      <c r="E128" s="302">
        <f>C128</f>
        <v>-96296.55</v>
      </c>
      <c r="F128" s="162"/>
      <c r="I128" s="51"/>
    </row>
    <row r="129" spans="1:10">
      <c r="A129" s="65"/>
      <c r="B129" s="327"/>
      <c r="C129" s="162"/>
      <c r="D129" s="162"/>
      <c r="E129" s="301"/>
      <c r="F129" s="162"/>
      <c r="I129" s="51"/>
    </row>
    <row r="130" spans="1:10">
      <c r="A130" s="65"/>
      <c r="B130" s="327" t="s">
        <v>531</v>
      </c>
      <c r="C130" s="162">
        <f>SUM(C127:C129)</f>
        <v>-637309.85000000009</v>
      </c>
      <c r="D130" s="162">
        <f>SUM(D127:D129)</f>
        <v>0</v>
      </c>
      <c r="E130" s="298">
        <f>SUM(E126:E129)</f>
        <v>-637309.85000000009</v>
      </c>
      <c r="F130" s="162" t="s">
        <v>374</v>
      </c>
      <c r="I130" s="51"/>
    </row>
    <row r="131" spans="1:10">
      <c r="A131" s="65"/>
      <c r="B131" s="141" t="s">
        <v>374</v>
      </c>
      <c r="C131" s="303" t="s">
        <v>374</v>
      </c>
      <c r="D131" s="156"/>
      <c r="E131" s="162"/>
      <c r="F131" s="162"/>
      <c r="I131" s="51"/>
    </row>
    <row r="132" spans="1:10">
      <c r="A132" s="65"/>
      <c r="B132" s="65"/>
      <c r="C132" s="304" t="s">
        <v>885</v>
      </c>
      <c r="D132" s="304" t="s">
        <v>532</v>
      </c>
      <c r="E132" s="305" t="s">
        <v>886</v>
      </c>
      <c r="F132" s="162"/>
      <c r="I132" s="51"/>
    </row>
    <row r="133" spans="1:10">
      <c r="A133" s="65"/>
      <c r="B133" s="327" t="s">
        <v>432</v>
      </c>
      <c r="C133" s="306">
        <v>-1395161.92</v>
      </c>
      <c r="D133" s="306">
        <v>-1156076.6599999999</v>
      </c>
      <c r="E133" s="306">
        <f>SUM(C133:D133)</f>
        <v>-2551238.58</v>
      </c>
      <c r="F133" s="162"/>
      <c r="G133" s="150"/>
      <c r="I133" s="51"/>
    </row>
    <row r="134" spans="1:10">
      <c r="A134" s="65"/>
      <c r="B134" s="141"/>
      <c r="C134" s="307"/>
      <c r="D134" s="307"/>
      <c r="E134" s="307"/>
      <c r="F134" s="162"/>
      <c r="G134" s="65"/>
      <c r="H134" s="65"/>
    </row>
    <row r="135" spans="1:10">
      <c r="A135" s="65"/>
      <c r="B135" s="328" t="s">
        <v>533</v>
      </c>
      <c r="C135" s="307">
        <f t="shared" ref="C135:D135" si="0">C130+C133</f>
        <v>-2032471.77</v>
      </c>
      <c r="D135" s="307">
        <f t="shared" si="0"/>
        <v>-1156076.6599999999</v>
      </c>
      <c r="E135" s="307">
        <f>E130+E133</f>
        <v>-3188548.43</v>
      </c>
      <c r="F135" s="162"/>
      <c r="G135" s="65"/>
      <c r="H135" s="65"/>
    </row>
    <row r="136" spans="1:10">
      <c r="A136" s="65"/>
      <c r="B136" s="328"/>
      <c r="C136" s="307"/>
      <c r="D136" s="307"/>
      <c r="E136" s="307"/>
      <c r="F136" s="162"/>
      <c r="G136" s="65"/>
      <c r="H136" s="65"/>
    </row>
    <row r="137" spans="1:10">
      <c r="A137" s="72"/>
      <c r="B137" s="64"/>
      <c r="C137" s="162"/>
      <c r="D137" s="162"/>
      <c r="E137" s="162"/>
      <c r="F137" s="298"/>
      <c r="G137" s="57"/>
      <c r="H137" s="57"/>
      <c r="I137" s="51"/>
    </row>
    <row r="138" spans="1:10">
      <c r="A138" s="146" t="s">
        <v>810</v>
      </c>
      <c r="B138" s="65"/>
      <c r="C138" s="156"/>
      <c r="D138" s="156"/>
      <c r="E138" s="156"/>
      <c r="F138" s="156"/>
    </row>
    <row r="139" spans="1:10">
      <c r="A139" s="146" t="s">
        <v>760</v>
      </c>
      <c r="B139" s="65"/>
      <c r="C139" s="156"/>
      <c r="D139" s="156"/>
      <c r="E139" s="156"/>
      <c r="F139" s="156"/>
    </row>
    <row r="140" spans="1:10">
      <c r="A140" s="146" t="s">
        <v>761</v>
      </c>
      <c r="B140" s="65"/>
      <c r="C140" s="156"/>
      <c r="D140" s="156"/>
      <c r="E140" s="156"/>
      <c r="F140" s="156"/>
    </row>
    <row r="141" spans="1:10">
      <c r="A141" s="65"/>
      <c r="B141" s="65"/>
      <c r="C141" s="156"/>
      <c r="D141" s="156"/>
      <c r="E141" s="156"/>
      <c r="F141" s="156"/>
    </row>
    <row r="142" spans="1:10">
      <c r="A142" s="381" t="s">
        <v>757</v>
      </c>
      <c r="B142" s="381" t="s">
        <v>1</v>
      </c>
      <c r="C142" s="379" t="s">
        <v>889</v>
      </c>
      <c r="D142" s="383" t="s">
        <v>755</v>
      </c>
      <c r="E142" s="385" t="s">
        <v>890</v>
      </c>
      <c r="F142" s="379" t="s">
        <v>891</v>
      </c>
    </row>
    <row r="143" spans="1:10" ht="13.8" thickBot="1">
      <c r="A143" s="382"/>
      <c r="B143" s="382"/>
      <c r="C143" s="380"/>
      <c r="D143" s="384"/>
      <c r="E143" s="386"/>
      <c r="F143" s="380"/>
    </row>
    <row r="144" spans="1:10">
      <c r="A144" s="337">
        <v>2001</v>
      </c>
      <c r="B144" s="329" t="s">
        <v>566</v>
      </c>
      <c r="C144" s="308">
        <v>-21190.25</v>
      </c>
      <c r="D144" s="308">
        <v>0</v>
      </c>
      <c r="E144" s="309">
        <v>-9496.2000000000007</v>
      </c>
      <c r="F144" s="330">
        <f>SUM(C144:E144)</f>
        <v>-30686.45</v>
      </c>
      <c r="I144" s="292"/>
      <c r="J144" s="78"/>
    </row>
    <row r="145" spans="1:18">
      <c r="A145" s="338">
        <v>2002</v>
      </c>
      <c r="B145" s="268" t="s">
        <v>58</v>
      </c>
      <c r="C145" s="310">
        <v>6977.74</v>
      </c>
      <c r="D145" s="310">
        <v>0</v>
      </c>
      <c r="E145" s="311">
        <v>-15657.36</v>
      </c>
      <c r="F145" s="331">
        <f t="shared" ref="F145:F189" si="1">SUM(C145:E145)</f>
        <v>-8679.6200000000008</v>
      </c>
      <c r="I145" s="292"/>
      <c r="J145" s="78"/>
    </row>
    <row r="146" spans="1:18">
      <c r="A146" s="338">
        <v>2003</v>
      </c>
      <c r="B146" s="268" t="s">
        <v>60</v>
      </c>
      <c r="C146" s="310">
        <v>6337.43</v>
      </c>
      <c r="D146" s="310">
        <v>0</v>
      </c>
      <c r="E146" s="311">
        <v>-50840.89</v>
      </c>
      <c r="F146" s="331">
        <f t="shared" si="1"/>
        <v>-44503.46</v>
      </c>
      <c r="I146" s="292"/>
      <c r="J146" s="78"/>
    </row>
    <row r="147" spans="1:18">
      <c r="A147" s="338">
        <v>2004</v>
      </c>
      <c r="B147" s="268" t="s">
        <v>62</v>
      </c>
      <c r="C147" s="310">
        <v>-35488.089999999997</v>
      </c>
      <c r="D147" s="310">
        <v>0</v>
      </c>
      <c r="E147" s="311">
        <v>-13876.44</v>
      </c>
      <c r="F147" s="331">
        <f t="shared" si="1"/>
        <v>-49364.53</v>
      </c>
      <c r="I147" s="292"/>
      <c r="J147" s="78"/>
    </row>
    <row r="148" spans="1:18">
      <c r="A148" s="338">
        <v>2005</v>
      </c>
      <c r="B148" s="268" t="s">
        <v>64</v>
      </c>
      <c r="C148" s="310">
        <v>15771.21</v>
      </c>
      <c r="D148" s="310">
        <v>0</v>
      </c>
      <c r="E148" s="311">
        <v>-560.42999999999995</v>
      </c>
      <c r="F148" s="331">
        <f t="shared" si="1"/>
        <v>15210.779999999999</v>
      </c>
      <c r="I148" s="292"/>
      <c r="J148" s="78"/>
    </row>
    <row r="149" spans="1:18">
      <c r="A149" s="338">
        <v>2006</v>
      </c>
      <c r="B149" s="268" t="s">
        <v>66</v>
      </c>
      <c r="C149" s="310">
        <v>-72988.62</v>
      </c>
      <c r="D149" s="310">
        <v>0</v>
      </c>
      <c r="E149" s="311">
        <v>-23713.919999999998</v>
      </c>
      <c r="F149" s="331">
        <f t="shared" si="1"/>
        <v>-96702.54</v>
      </c>
      <c r="I149" s="292"/>
      <c r="J149" s="78"/>
      <c r="R149" s="65"/>
    </row>
    <row r="150" spans="1:18">
      <c r="A150" s="338">
        <v>2007</v>
      </c>
      <c r="B150" s="268" t="s">
        <v>68</v>
      </c>
      <c r="C150" s="310">
        <v>-25926.19</v>
      </c>
      <c r="D150" s="310">
        <v>0</v>
      </c>
      <c r="E150" s="311">
        <v>-8107.09</v>
      </c>
      <c r="F150" s="331">
        <f t="shared" si="1"/>
        <v>-34033.279999999999</v>
      </c>
      <c r="I150" s="292"/>
      <c r="J150" s="78"/>
    </row>
    <row r="151" spans="1:18">
      <c r="A151" s="338">
        <v>2008</v>
      </c>
      <c r="B151" s="268" t="s">
        <v>70</v>
      </c>
      <c r="C151" s="310">
        <v>18459.95</v>
      </c>
      <c r="D151" s="310">
        <v>0</v>
      </c>
      <c r="E151" s="311">
        <v>1000</v>
      </c>
      <c r="F151" s="331">
        <f t="shared" si="1"/>
        <v>19459.95</v>
      </c>
      <c r="I151" s="292"/>
      <c r="J151" s="78"/>
    </row>
    <row r="152" spans="1:18">
      <c r="A152" s="338">
        <v>2009</v>
      </c>
      <c r="B152" s="268" t="s">
        <v>567</v>
      </c>
      <c r="C152" s="310">
        <v>-34502.550000000003</v>
      </c>
      <c r="D152" s="310">
        <v>0</v>
      </c>
      <c r="E152" s="311">
        <v>-70341.39</v>
      </c>
      <c r="F152" s="331">
        <f t="shared" si="1"/>
        <v>-104843.94</v>
      </c>
      <c r="I152" s="292"/>
      <c r="J152" s="78"/>
    </row>
    <row r="153" spans="1:18">
      <c r="A153" s="338">
        <v>2010</v>
      </c>
      <c r="B153" s="268" t="s">
        <v>74</v>
      </c>
      <c r="C153" s="310">
        <v>-1719.48</v>
      </c>
      <c r="D153" s="310">
        <v>0</v>
      </c>
      <c r="E153" s="311">
        <v>-16391.41</v>
      </c>
      <c r="F153" s="331">
        <f t="shared" si="1"/>
        <v>-18110.89</v>
      </c>
      <c r="I153" s="292"/>
      <c r="J153" s="78"/>
    </row>
    <row r="154" spans="1:18">
      <c r="A154" s="338">
        <v>2011</v>
      </c>
      <c r="B154" s="268" t="s">
        <v>76</v>
      </c>
      <c r="C154" s="310">
        <v>-2559.08</v>
      </c>
      <c r="D154" s="310">
        <v>0</v>
      </c>
      <c r="E154" s="311">
        <v>-7178.3</v>
      </c>
      <c r="F154" s="331">
        <f t="shared" si="1"/>
        <v>-9737.380000000001</v>
      </c>
      <c r="I154" s="292"/>
      <c r="J154" s="78"/>
    </row>
    <row r="155" spans="1:18">
      <c r="A155" s="338">
        <v>2012</v>
      </c>
      <c r="B155" s="268" t="s">
        <v>78</v>
      </c>
      <c r="C155" s="310">
        <v>-32966.620000000003</v>
      </c>
      <c r="D155" s="310">
        <v>0</v>
      </c>
      <c r="E155" s="311">
        <v>261127.02</v>
      </c>
      <c r="F155" s="331">
        <f t="shared" si="1"/>
        <v>228160.4</v>
      </c>
      <c r="I155" s="292"/>
      <c r="J155" s="78"/>
    </row>
    <row r="156" spans="1:18">
      <c r="A156" s="338">
        <v>2013</v>
      </c>
      <c r="B156" s="268" t="s">
        <v>80</v>
      </c>
      <c r="C156" s="310">
        <v>62730.07</v>
      </c>
      <c r="D156" s="310">
        <v>0</v>
      </c>
      <c r="E156" s="311">
        <v>-40772.44</v>
      </c>
      <c r="F156" s="331">
        <f t="shared" si="1"/>
        <v>21957.629999999997</v>
      </c>
      <c r="I156" s="292"/>
      <c r="J156" s="78"/>
    </row>
    <row r="157" spans="1:18">
      <c r="A157" s="338">
        <v>2014</v>
      </c>
      <c r="B157" s="268" t="s">
        <v>82</v>
      </c>
      <c r="C157" s="310">
        <v>-23185.05</v>
      </c>
      <c r="D157" s="310">
        <v>0</v>
      </c>
      <c r="E157" s="311">
        <v>-3679.74</v>
      </c>
      <c r="F157" s="331">
        <f t="shared" si="1"/>
        <v>-26864.79</v>
      </c>
      <c r="I157" s="292"/>
      <c r="J157" s="78"/>
    </row>
    <row r="158" spans="1:18">
      <c r="A158" s="338">
        <v>2015</v>
      </c>
      <c r="B158" s="268" t="s">
        <v>84</v>
      </c>
      <c r="C158" s="310">
        <v>-3707.8</v>
      </c>
      <c r="D158" s="310">
        <v>0</v>
      </c>
      <c r="E158" s="311">
        <v>4465.1499999999996</v>
      </c>
      <c r="F158" s="331">
        <f t="shared" si="1"/>
        <v>757.34999999999945</v>
      </c>
      <c r="I158" s="292"/>
      <c r="J158" s="78"/>
    </row>
    <row r="159" spans="1:18">
      <c r="A159" s="338">
        <v>2016</v>
      </c>
      <c r="B159" s="268" t="s">
        <v>86</v>
      </c>
      <c r="C159" s="310">
        <v>-32774.36</v>
      </c>
      <c r="D159" s="310">
        <v>0</v>
      </c>
      <c r="E159" s="311">
        <v>-19353.37</v>
      </c>
      <c r="F159" s="331">
        <f t="shared" si="1"/>
        <v>-52127.729999999996</v>
      </c>
      <c r="I159" s="292"/>
      <c r="J159" s="78"/>
    </row>
    <row r="160" spans="1:18">
      <c r="A160" s="338">
        <v>2017</v>
      </c>
      <c r="B160" s="268" t="s">
        <v>88</v>
      </c>
      <c r="C160" s="310">
        <v>19890.02</v>
      </c>
      <c r="D160" s="310">
        <v>0</v>
      </c>
      <c r="E160" s="311">
        <v>-22540.31</v>
      </c>
      <c r="F160" s="331">
        <f t="shared" si="1"/>
        <v>-2650.2900000000009</v>
      </c>
      <c r="I160" s="292"/>
      <c r="J160" s="78"/>
    </row>
    <row r="161" spans="1:12">
      <c r="A161" s="338">
        <v>2018</v>
      </c>
      <c r="B161" s="268" t="s">
        <v>90</v>
      </c>
      <c r="C161" s="310">
        <v>-44622.58</v>
      </c>
      <c r="D161" s="310">
        <v>0</v>
      </c>
      <c r="E161" s="311">
        <v>-12797.21</v>
      </c>
      <c r="F161" s="331">
        <f t="shared" si="1"/>
        <v>-57419.79</v>
      </c>
      <c r="I161" s="292"/>
      <c r="J161" s="78"/>
    </row>
    <row r="162" spans="1:12">
      <c r="A162" s="338">
        <v>2019</v>
      </c>
      <c r="B162" s="268" t="s">
        <v>811</v>
      </c>
      <c r="C162" s="310">
        <v>14178.92</v>
      </c>
      <c r="D162" s="310">
        <v>0</v>
      </c>
      <c r="E162" s="311">
        <f>-38481.08</f>
        <v>-38481.08</v>
      </c>
      <c r="F162" s="331">
        <f t="shared" si="1"/>
        <v>-24302.160000000003</v>
      </c>
      <c r="H162" s="149"/>
      <c r="I162" s="292"/>
      <c r="J162" s="78"/>
    </row>
    <row r="163" spans="1:12">
      <c r="A163" s="338">
        <v>2020</v>
      </c>
      <c r="B163" s="268" t="s">
        <v>94</v>
      </c>
      <c r="C163" s="310">
        <v>-6929.31</v>
      </c>
      <c r="D163" s="310">
        <v>0</v>
      </c>
      <c r="E163" s="311">
        <v>1696.94</v>
      </c>
      <c r="F163" s="331">
        <f t="shared" si="1"/>
        <v>-5232.3700000000008</v>
      </c>
      <c r="I163" s="292"/>
      <c r="J163" s="78"/>
    </row>
    <row r="164" spans="1:12">
      <c r="A164" s="338">
        <v>2024</v>
      </c>
      <c r="B164" s="268" t="s">
        <v>96</v>
      </c>
      <c r="C164" s="310">
        <v>-31494.84</v>
      </c>
      <c r="D164" s="310">
        <v>0</v>
      </c>
      <c r="E164" s="311">
        <v>-43483.65</v>
      </c>
      <c r="F164" s="331">
        <f t="shared" si="1"/>
        <v>-74978.490000000005</v>
      </c>
      <c r="I164" s="292"/>
      <c r="J164" s="78"/>
    </row>
    <row r="165" spans="1:12">
      <c r="A165" s="338">
        <v>2025</v>
      </c>
      <c r="B165" s="268" t="s">
        <v>98</v>
      </c>
      <c r="C165" s="310">
        <v>-1021.61</v>
      </c>
      <c r="D165" s="310">
        <v>0</v>
      </c>
      <c r="E165" s="311">
        <v>0</v>
      </c>
      <c r="F165" s="331">
        <f t="shared" si="1"/>
        <v>-1021.61</v>
      </c>
      <c r="I165" s="292"/>
      <c r="J165" s="78"/>
    </row>
    <row r="166" spans="1:12">
      <c r="A166" s="338">
        <v>2026</v>
      </c>
      <c r="B166" s="268" t="s">
        <v>100</v>
      </c>
      <c r="C166" s="310">
        <v>-13919.65</v>
      </c>
      <c r="D166" s="310">
        <v>0</v>
      </c>
      <c r="E166" s="311">
        <v>0</v>
      </c>
      <c r="F166" s="331">
        <f t="shared" si="1"/>
        <v>-13919.65</v>
      </c>
      <c r="I166" s="292"/>
      <c r="J166" s="78"/>
    </row>
    <row r="167" spans="1:12">
      <c r="A167" s="338">
        <v>2027</v>
      </c>
      <c r="B167" s="268" t="s">
        <v>102</v>
      </c>
      <c r="C167" s="310">
        <v>-29651.11</v>
      </c>
      <c r="D167" s="310">
        <v>0</v>
      </c>
      <c r="E167" s="311">
        <v>-12383.16</v>
      </c>
      <c r="F167" s="331">
        <f t="shared" si="1"/>
        <v>-42034.270000000004</v>
      </c>
      <c r="I167" s="292"/>
      <c r="J167" s="78"/>
      <c r="L167" s="78"/>
    </row>
    <row r="168" spans="1:12">
      <c r="A168" s="338">
        <v>2028</v>
      </c>
      <c r="B168" s="268" t="s">
        <v>569</v>
      </c>
      <c r="C168" s="310">
        <v>-26682.9</v>
      </c>
      <c r="D168" s="310">
        <v>0</v>
      </c>
      <c r="E168" s="311">
        <v>13546.17</v>
      </c>
      <c r="F168" s="331">
        <f t="shared" si="1"/>
        <v>-13136.730000000001</v>
      </c>
      <c r="I168" s="292"/>
      <c r="J168" s="78"/>
    </row>
    <row r="169" spans="1:12">
      <c r="A169" s="338">
        <v>2029</v>
      </c>
      <c r="B169" s="268" t="s">
        <v>106</v>
      </c>
      <c r="C169" s="310">
        <v>-26508.22</v>
      </c>
      <c r="D169" s="310">
        <v>0</v>
      </c>
      <c r="E169" s="311">
        <v>-40725.15</v>
      </c>
      <c r="F169" s="331">
        <f t="shared" si="1"/>
        <v>-67233.37</v>
      </c>
      <c r="I169" s="292"/>
      <c r="J169" s="78"/>
    </row>
    <row r="170" spans="1:12">
      <c r="A170" s="338">
        <v>2030</v>
      </c>
      <c r="B170" s="268" t="s">
        <v>108</v>
      </c>
      <c r="C170" s="310">
        <v>-47345.16</v>
      </c>
      <c r="D170" s="310">
        <v>0</v>
      </c>
      <c r="E170" s="311">
        <v>-5478</v>
      </c>
      <c r="F170" s="331">
        <f t="shared" si="1"/>
        <v>-52823.16</v>
      </c>
      <c r="I170" s="292"/>
      <c r="J170" s="78"/>
    </row>
    <row r="171" spans="1:12">
      <c r="A171" s="338">
        <v>2031</v>
      </c>
      <c r="B171" s="268" t="s">
        <v>570</v>
      </c>
      <c r="C171" s="310">
        <v>-188530.28</v>
      </c>
      <c r="D171" s="310">
        <v>0</v>
      </c>
      <c r="E171" s="311">
        <v>42412.38</v>
      </c>
      <c r="F171" s="331">
        <f t="shared" si="1"/>
        <v>-146117.9</v>
      </c>
      <c r="I171" s="292"/>
      <c r="J171" s="78"/>
    </row>
    <row r="172" spans="1:12">
      <c r="A172" s="338">
        <v>2032</v>
      </c>
      <c r="B172" s="268" t="s">
        <v>112</v>
      </c>
      <c r="C172" s="310">
        <v>-3223.75</v>
      </c>
      <c r="D172" s="310">
        <v>0</v>
      </c>
      <c r="E172" s="311">
        <v>-3339.59</v>
      </c>
      <c r="F172" s="331">
        <f t="shared" si="1"/>
        <v>-6563.34</v>
      </c>
      <c r="I172" s="292"/>
      <c r="J172" s="78"/>
    </row>
    <row r="173" spans="1:12">
      <c r="A173" s="338">
        <v>2033</v>
      </c>
      <c r="B173" s="268" t="s">
        <v>892</v>
      </c>
      <c r="C173" s="310">
        <v>0</v>
      </c>
      <c r="D173" s="310">
        <v>0</v>
      </c>
      <c r="E173" s="311">
        <v>-19351.310000000001</v>
      </c>
      <c r="F173" s="331">
        <f t="shared" si="1"/>
        <v>-19351.310000000001</v>
      </c>
      <c r="I173" s="292"/>
      <c r="J173" s="78"/>
    </row>
    <row r="174" spans="1:12">
      <c r="A174" s="338">
        <v>2034</v>
      </c>
      <c r="B174" s="268" t="s">
        <v>114</v>
      </c>
      <c r="C174" s="310">
        <v>-27441.02</v>
      </c>
      <c r="D174" s="310">
        <v>0</v>
      </c>
      <c r="E174" s="311">
        <v>-44526.41</v>
      </c>
      <c r="F174" s="331">
        <f t="shared" si="1"/>
        <v>-71967.430000000008</v>
      </c>
      <c r="I174" s="292"/>
      <c r="J174" s="78"/>
    </row>
    <row r="175" spans="1:12">
      <c r="A175" s="338">
        <v>2035</v>
      </c>
      <c r="B175" s="268" t="s">
        <v>116</v>
      </c>
      <c r="C175" s="310">
        <v>-118666.48</v>
      </c>
      <c r="D175" s="310">
        <v>0</v>
      </c>
      <c r="E175" s="311">
        <v>12792.44</v>
      </c>
      <c r="F175" s="331">
        <f t="shared" si="1"/>
        <v>-105874.04</v>
      </c>
      <c r="I175" s="292"/>
      <c r="J175" s="78"/>
    </row>
    <row r="176" spans="1:12">
      <c r="A176" s="338">
        <v>2036</v>
      </c>
      <c r="B176" s="268" t="s">
        <v>571</v>
      </c>
      <c r="C176" s="310">
        <v>-7188</v>
      </c>
      <c r="D176" s="310">
        <v>0</v>
      </c>
      <c r="E176" s="311">
        <v>0</v>
      </c>
      <c r="F176" s="331">
        <f t="shared" si="1"/>
        <v>-7188</v>
      </c>
      <c r="I176" s="292"/>
      <c r="J176" s="78"/>
    </row>
    <row r="177" spans="1:10">
      <c r="A177" s="338">
        <v>2037</v>
      </c>
      <c r="B177" s="268" t="s">
        <v>572</v>
      </c>
      <c r="C177" s="310">
        <v>-187807.53</v>
      </c>
      <c r="D177" s="310">
        <v>0</v>
      </c>
      <c r="E177" s="311">
        <v>-265003.96999999997</v>
      </c>
      <c r="F177" s="331">
        <f t="shared" si="1"/>
        <v>-452811.5</v>
      </c>
      <c r="I177" s="292"/>
      <c r="J177" s="78"/>
    </row>
    <row r="178" spans="1:10">
      <c r="A178" s="338">
        <v>2038</v>
      </c>
      <c r="B178" s="268" t="s">
        <v>573</v>
      </c>
      <c r="C178" s="310">
        <v>-15769.25</v>
      </c>
      <c r="D178" s="310">
        <v>0</v>
      </c>
      <c r="E178" s="311">
        <v>-636.51</v>
      </c>
      <c r="F178" s="331">
        <f t="shared" si="1"/>
        <v>-16405.759999999998</v>
      </c>
      <c r="I178" s="292"/>
      <c r="J178" s="78"/>
    </row>
    <row r="179" spans="1:10">
      <c r="A179" s="338">
        <v>2039</v>
      </c>
      <c r="B179" s="332" t="s">
        <v>751</v>
      </c>
      <c r="C179" s="310">
        <v>-31419.46</v>
      </c>
      <c r="D179" s="310">
        <v>0</v>
      </c>
      <c r="E179" s="311">
        <v>-28069.53</v>
      </c>
      <c r="F179" s="331">
        <f t="shared" si="1"/>
        <v>-59488.99</v>
      </c>
      <c r="I179" s="292"/>
      <c r="J179" s="78"/>
    </row>
    <row r="180" spans="1:10">
      <c r="A180" s="338">
        <v>2040</v>
      </c>
      <c r="B180" s="268" t="s">
        <v>528</v>
      </c>
      <c r="C180" s="310">
        <v>-541013.30000000005</v>
      </c>
      <c r="D180" s="310">
        <v>0</v>
      </c>
      <c r="E180" s="311">
        <v>0</v>
      </c>
      <c r="F180" s="331">
        <f t="shared" si="1"/>
        <v>-541013.30000000005</v>
      </c>
      <c r="I180" s="292"/>
      <c r="J180" s="78"/>
    </row>
    <row r="181" spans="1:10">
      <c r="A181" s="338">
        <v>2041</v>
      </c>
      <c r="B181" s="268" t="s">
        <v>126</v>
      </c>
      <c r="C181" s="310">
        <v>-96296.55</v>
      </c>
      <c r="D181" s="310">
        <v>0</v>
      </c>
      <c r="E181" s="311">
        <v>0</v>
      </c>
      <c r="F181" s="331">
        <f t="shared" si="1"/>
        <v>-96296.55</v>
      </c>
      <c r="I181" s="292"/>
      <c r="J181" s="78"/>
    </row>
    <row r="182" spans="1:10">
      <c r="A182" s="338">
        <v>2042</v>
      </c>
      <c r="B182" s="268" t="s">
        <v>893</v>
      </c>
      <c r="C182" s="310">
        <v>0</v>
      </c>
      <c r="D182" s="310">
        <v>0</v>
      </c>
      <c r="E182" s="311">
        <v>-27025.8</v>
      </c>
      <c r="F182" s="331">
        <f t="shared" si="1"/>
        <v>-27025.8</v>
      </c>
      <c r="I182" s="292"/>
      <c r="J182" s="78"/>
    </row>
    <row r="183" spans="1:10">
      <c r="A183" s="338">
        <v>2045</v>
      </c>
      <c r="B183" s="268" t="s">
        <v>128</v>
      </c>
      <c r="C183" s="310">
        <v>35486.9</v>
      </c>
      <c r="D183" s="310">
        <v>0</v>
      </c>
      <c r="E183" s="311">
        <v>0</v>
      </c>
      <c r="F183" s="331">
        <f t="shared" si="1"/>
        <v>35486.9</v>
      </c>
      <c r="I183" s="292"/>
      <c r="J183" s="78"/>
    </row>
    <row r="184" spans="1:10">
      <c r="A184" s="338"/>
      <c r="B184" s="268" t="s">
        <v>752</v>
      </c>
      <c r="C184" s="310">
        <v>94204.98</v>
      </c>
      <c r="D184" s="310">
        <v>0</v>
      </c>
      <c r="E184" s="311">
        <v>0.01</v>
      </c>
      <c r="F184" s="331">
        <f t="shared" si="1"/>
        <v>94204.989999999991</v>
      </c>
      <c r="I184" s="292"/>
      <c r="J184" s="78"/>
    </row>
    <row r="185" spans="1:10">
      <c r="A185" s="338">
        <v>2050</v>
      </c>
      <c r="B185" s="268" t="s">
        <v>694</v>
      </c>
      <c r="C185" s="310">
        <v>205398.28</v>
      </c>
      <c r="D185" s="310">
        <v>0</v>
      </c>
      <c r="E185" s="311">
        <v>-90010.73</v>
      </c>
      <c r="F185" s="331">
        <f t="shared" si="1"/>
        <v>115387.55</v>
      </c>
      <c r="I185" s="292"/>
      <c r="J185" s="78"/>
    </row>
    <row r="186" spans="1:10">
      <c r="A186" s="338">
        <v>2055</v>
      </c>
      <c r="B186" s="268" t="s">
        <v>574</v>
      </c>
      <c r="C186" s="310">
        <v>429477.08</v>
      </c>
      <c r="D186" s="310">
        <v>0</v>
      </c>
      <c r="E186" s="311">
        <v>-204984.33</v>
      </c>
      <c r="F186" s="331">
        <f t="shared" si="1"/>
        <v>224492.75000000003</v>
      </c>
      <c r="I186" s="292"/>
      <c r="J186" s="78"/>
    </row>
    <row r="187" spans="1:10">
      <c r="A187" s="338">
        <v>2070</v>
      </c>
      <c r="B187" s="268" t="s">
        <v>134</v>
      </c>
      <c r="C187" s="310">
        <v>-854879.78</v>
      </c>
      <c r="D187" s="310">
        <v>0</v>
      </c>
      <c r="E187" s="311">
        <v>-85543.24</v>
      </c>
      <c r="F187" s="331">
        <f t="shared" si="1"/>
        <v>-940423.02</v>
      </c>
      <c r="I187" s="292"/>
      <c r="J187" s="78"/>
    </row>
    <row r="188" spans="1:10">
      <c r="A188" s="338">
        <v>2080</v>
      </c>
      <c r="B188" s="268" t="s">
        <v>136</v>
      </c>
      <c r="C188" s="310">
        <v>-460950.11</v>
      </c>
      <c r="D188" s="310">
        <v>0</v>
      </c>
      <c r="E188" s="311">
        <f>-311745.65+42977.84</f>
        <v>-268767.81000000006</v>
      </c>
      <c r="F188" s="331">
        <f t="shared" si="1"/>
        <v>-729717.92</v>
      </c>
      <c r="I188" s="292"/>
      <c r="J188" s="78"/>
    </row>
    <row r="189" spans="1:10">
      <c r="A189" s="338">
        <v>2090</v>
      </c>
      <c r="B189" s="268" t="s">
        <v>695</v>
      </c>
      <c r="C189" s="310">
        <v>106985.63</v>
      </c>
      <c r="D189" s="310">
        <v>0</v>
      </c>
      <c r="E189" s="311">
        <v>0</v>
      </c>
      <c r="F189" s="331">
        <f t="shared" si="1"/>
        <v>106985.63</v>
      </c>
      <c r="I189" s="292"/>
      <c r="J189" s="78"/>
    </row>
    <row r="190" spans="1:10" ht="13.8" thickBot="1">
      <c r="A190" s="339"/>
      <c r="B190" s="333" t="s">
        <v>759</v>
      </c>
      <c r="C190" s="334">
        <f t="shared" ref="C190:F190" si="2">SUM(C144:C189)</f>
        <v>-2032470.7700000005</v>
      </c>
      <c r="D190" s="334">
        <f t="shared" si="2"/>
        <v>0</v>
      </c>
      <c r="E190" s="334">
        <f t="shared" si="2"/>
        <v>-1156076.6600000001</v>
      </c>
      <c r="F190" s="335">
        <f t="shared" si="2"/>
        <v>-3188547.4300000006</v>
      </c>
      <c r="I190" s="292"/>
    </row>
    <row r="191" spans="1:10">
      <c r="A191" s="65"/>
      <c r="B191" s="65"/>
      <c r="C191" s="156"/>
      <c r="D191" s="156"/>
      <c r="E191" s="156"/>
      <c r="F191" s="156"/>
    </row>
    <row r="192" spans="1:10">
      <c r="A192" s="65"/>
      <c r="B192" s="65"/>
      <c r="C192" s="156"/>
      <c r="D192" s="156"/>
      <c r="E192" s="156"/>
      <c r="F192" s="156"/>
    </row>
    <row r="193" spans="1:6">
      <c r="A193" s="157" t="s">
        <v>479</v>
      </c>
      <c r="B193" s="312" t="s">
        <v>482</v>
      </c>
      <c r="C193" s="156"/>
      <c r="D193" s="156"/>
      <c r="E193" s="156"/>
      <c r="F193" s="156"/>
    </row>
    <row r="194" spans="1:6">
      <c r="A194" s="65"/>
      <c r="B194" s="76" t="s">
        <v>895</v>
      </c>
      <c r="C194" s="156"/>
      <c r="D194" s="156"/>
      <c r="E194" s="156"/>
      <c r="F194" s="156"/>
    </row>
    <row r="195" spans="1:6">
      <c r="B195" s="65"/>
      <c r="C195" s="156"/>
      <c r="D195" s="156"/>
      <c r="E195" s="156"/>
      <c r="F195" s="156"/>
    </row>
    <row r="196" spans="1:6">
      <c r="A196" s="56" t="s">
        <v>374</v>
      </c>
      <c r="B196" s="157" t="s">
        <v>374</v>
      </c>
      <c r="C196" s="156"/>
      <c r="D196" s="156"/>
      <c r="E196" s="156"/>
      <c r="F196" s="156"/>
    </row>
    <row r="197" spans="1:6">
      <c r="A197" s="56"/>
      <c r="B197" s="157"/>
      <c r="C197" s="156"/>
      <c r="D197" s="156"/>
      <c r="E197" s="156"/>
      <c r="F197" s="156"/>
    </row>
    <row r="198" spans="1:6">
      <c r="B198" s="146"/>
      <c r="C198" s="156"/>
      <c r="D198" s="156"/>
      <c r="E198" s="156"/>
      <c r="F198" s="156"/>
    </row>
    <row r="199" spans="1:6">
      <c r="B199" s="149"/>
    </row>
    <row r="200" spans="1:6">
      <c r="B200" s="149"/>
    </row>
    <row r="201" spans="1:6">
      <c r="B201" s="149"/>
    </row>
    <row r="202" spans="1:6">
      <c r="B202" s="149"/>
    </row>
    <row r="203" spans="1:6">
      <c r="B203" s="149"/>
    </row>
    <row r="204" spans="1:6">
      <c r="B204" s="149"/>
    </row>
  </sheetData>
  <mergeCells count="6">
    <mergeCell ref="F142:F143"/>
    <mergeCell ref="A142:A143"/>
    <mergeCell ref="B142:B143"/>
    <mergeCell ref="C142:C143"/>
    <mergeCell ref="D142:D143"/>
    <mergeCell ref="E142:E143"/>
  </mergeCells>
  <pageMargins left="0.7" right="0.7" top="0.75" bottom="0.75" header="0.3" footer="0.3"/>
  <pageSetup paperSize="9" scale="6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5"/>
  <sheetViews>
    <sheetView topLeftCell="A4" workbookViewId="0">
      <selection activeCell="E19" sqref="E19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6" ht="23.4">
      <c r="A1" s="2" t="s">
        <v>841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265" t="s">
        <v>376</v>
      </c>
      <c r="C6" s="375" t="s">
        <v>377</v>
      </c>
      <c r="D6" s="375"/>
    </row>
    <row r="7" spans="1:6">
      <c r="B7" s="265"/>
      <c r="C7" s="265">
        <v>2017</v>
      </c>
      <c r="D7" s="265">
        <v>2016</v>
      </c>
    </row>
    <row r="8" spans="1:6">
      <c r="A8" s="3" t="s">
        <v>379</v>
      </c>
      <c r="B8" s="265" t="s">
        <v>374</v>
      </c>
      <c r="C8" s="141"/>
      <c r="D8" s="141"/>
    </row>
    <row r="9" spans="1:6">
      <c r="A9" t="s">
        <v>423</v>
      </c>
      <c r="B9" s="265"/>
      <c r="C9" s="170">
        <f>'Saldobalanse 2017'!D106*-1</f>
        <v>1058000</v>
      </c>
      <c r="D9" s="170">
        <f>'Saldobalanse 2017'!G106*-1</f>
        <v>814000</v>
      </c>
    </row>
    <row r="10" spans="1:6">
      <c r="A10" t="s">
        <v>424</v>
      </c>
      <c r="B10" s="265"/>
      <c r="C10" s="170">
        <f>'Saldobalanse 2017'!D117*-1</f>
        <v>1875343.67</v>
      </c>
      <c r="D10" s="170">
        <f>'Saldobalanse 2017'!G117*-1</f>
        <v>1707772</v>
      </c>
    </row>
    <row r="11" spans="1:6">
      <c r="A11" t="s">
        <v>425</v>
      </c>
      <c r="B11" s="265"/>
      <c r="C11" s="170">
        <f>'Saldobalanse 2017'!D111*-1</f>
        <v>440525</v>
      </c>
      <c r="D11" s="170">
        <f>'Saldobalanse 2017'!G111*-1</f>
        <v>379122</v>
      </c>
    </row>
    <row r="12" spans="1:6">
      <c r="A12" t="s">
        <v>220</v>
      </c>
      <c r="B12" s="265"/>
      <c r="C12" s="171">
        <f>'Saldobalanse 2017'!D122*-1</f>
        <v>3782339.9</v>
      </c>
      <c r="D12" s="171">
        <f>'Saldobalanse 2017'!G122*-1</f>
        <v>3374769.04</v>
      </c>
    </row>
    <row r="13" spans="1:6">
      <c r="A13" s="3" t="s">
        <v>381</v>
      </c>
      <c r="B13" s="265"/>
      <c r="C13" s="172">
        <f>SUM(C9:C12)</f>
        <v>7156208.5700000003</v>
      </c>
      <c r="D13" s="172">
        <f>SUM(D9:D12)</f>
        <v>6275663.04</v>
      </c>
      <c r="F13" s="7"/>
    </row>
    <row r="14" spans="1:6">
      <c r="B14" s="265"/>
      <c r="C14" s="170"/>
      <c r="D14" s="170"/>
    </row>
    <row r="15" spans="1:6">
      <c r="A15" s="3" t="s">
        <v>382</v>
      </c>
      <c r="B15" s="265"/>
      <c r="C15" s="170"/>
      <c r="D15" s="170"/>
    </row>
    <row r="16" spans="1:6">
      <c r="A16" t="s">
        <v>383</v>
      </c>
      <c r="B16" s="265" t="s">
        <v>374</v>
      </c>
      <c r="C16" s="170">
        <f>'Saldobalanse 2017'!D141</f>
        <v>3759009.97</v>
      </c>
      <c r="D16" s="170">
        <f>'Saldobalanse 2017'!G141</f>
        <v>3095916.4600000004</v>
      </c>
    </row>
    <row r="17" spans="1:4">
      <c r="A17" s="139" t="s">
        <v>247</v>
      </c>
      <c r="B17" s="140"/>
      <c r="C17" s="173">
        <f>'Saldobalanse 2017'!D166</f>
        <v>51744</v>
      </c>
      <c r="D17" s="173">
        <f>'Saldobalanse 2017'!G166</f>
        <v>64769.8</v>
      </c>
    </row>
    <row r="18" spans="1:4">
      <c r="A18" t="s">
        <v>384</v>
      </c>
      <c r="B18" s="265" t="s">
        <v>815</v>
      </c>
      <c r="C18" s="170">
        <f>'Saldobalanse 2017'!D163</f>
        <v>1168896.4800000002</v>
      </c>
      <c r="D18" s="170">
        <f>'Saldobalanse 2017'!G163</f>
        <v>986121.37000000011</v>
      </c>
    </row>
    <row r="19" spans="1:4">
      <c r="A19" t="s">
        <v>385</v>
      </c>
      <c r="B19" s="265"/>
      <c r="C19" s="171">
        <f>'Saldobalanse 2017'!D221</f>
        <v>1741804.92</v>
      </c>
      <c r="D19" s="171">
        <f>'Saldobalanse 2017'!G221</f>
        <v>1809581.89</v>
      </c>
    </row>
    <row r="20" spans="1:4">
      <c r="A20" s="3" t="s">
        <v>386</v>
      </c>
      <c r="B20" s="265"/>
      <c r="C20" s="172">
        <f>SUM(C16:C19)</f>
        <v>6721455.3700000001</v>
      </c>
      <c r="D20" s="172">
        <f>SUM(D16:D19)</f>
        <v>5956389.5200000005</v>
      </c>
    </row>
    <row r="21" spans="1:4">
      <c r="B21" s="265"/>
      <c r="C21" s="170"/>
      <c r="D21" s="170"/>
    </row>
    <row r="22" spans="1:4">
      <c r="A22" s="3" t="s">
        <v>387</v>
      </c>
      <c r="B22" s="265"/>
      <c r="C22" s="172">
        <f>C13-C20</f>
        <v>434753.20000000019</v>
      </c>
      <c r="D22" s="172">
        <f>D13-D20</f>
        <v>319273.51999999955</v>
      </c>
    </row>
    <row r="23" spans="1:4">
      <c r="B23" s="265"/>
      <c r="C23" s="170"/>
      <c r="D23" s="170"/>
    </row>
    <row r="24" spans="1:4">
      <c r="A24" s="3" t="s">
        <v>388</v>
      </c>
      <c r="B24" s="265"/>
      <c r="C24" s="170"/>
      <c r="D24" s="170"/>
    </row>
    <row r="25" spans="1:4">
      <c r="A25" t="s">
        <v>389</v>
      </c>
      <c r="B25" s="265"/>
      <c r="C25" s="170">
        <f>'Saldobalanse 2017'!D224*-1</f>
        <v>3100.92</v>
      </c>
      <c r="D25" s="170">
        <f>'Saldobalanse 2017'!G224*-1</f>
        <v>4250.2000000000007</v>
      </c>
    </row>
    <row r="26" spans="1:4">
      <c r="A26" t="s">
        <v>390</v>
      </c>
      <c r="B26" s="265"/>
      <c r="C26" s="171">
        <f>'Saldobalanse 2017'!D226</f>
        <v>822.21</v>
      </c>
      <c r="D26" s="171">
        <f>'Saldobalanse 2017'!G226</f>
        <v>2131.9</v>
      </c>
    </row>
    <row r="27" spans="1:4">
      <c r="A27" s="3" t="s">
        <v>391</v>
      </c>
      <c r="B27" s="265"/>
      <c r="C27" s="172">
        <f>C25-C26</f>
        <v>2278.71</v>
      </c>
      <c r="D27" s="172">
        <f>D25-D26</f>
        <v>2118.3000000000006</v>
      </c>
    </row>
    <row r="28" spans="1:4">
      <c r="A28" s="3"/>
      <c r="B28" s="265"/>
      <c r="C28" s="172"/>
      <c r="D28" s="172"/>
    </row>
    <row r="29" spans="1:4">
      <c r="A29" s="3" t="s">
        <v>392</v>
      </c>
      <c r="B29" s="265"/>
      <c r="C29" s="172">
        <f>C22+C27</f>
        <v>437031.91000000021</v>
      </c>
      <c r="D29" s="172">
        <f>D22+D27</f>
        <v>321391.81999999954</v>
      </c>
    </row>
    <row r="30" spans="1:4">
      <c r="B30" s="265"/>
      <c r="C30" s="170"/>
      <c r="D30" s="170"/>
    </row>
    <row r="31" spans="1:4">
      <c r="A31" s="3" t="s">
        <v>393</v>
      </c>
      <c r="B31" s="265"/>
      <c r="C31" s="170"/>
      <c r="D31" s="170"/>
    </row>
    <row r="32" spans="1:4">
      <c r="A32" t="s">
        <v>394</v>
      </c>
      <c r="B32" s="265"/>
      <c r="C32" s="171">
        <f>C29</f>
        <v>437031.91000000021</v>
      </c>
      <c r="D32" s="171">
        <f>D29</f>
        <v>321391.81999999954</v>
      </c>
    </row>
    <row r="33" spans="1:4">
      <c r="A33" s="3" t="s">
        <v>395</v>
      </c>
      <c r="B33" s="265"/>
      <c r="C33" s="172">
        <f>SUM(C32)</f>
        <v>437031.91000000021</v>
      </c>
      <c r="D33" s="172">
        <f>SUM(D32)</f>
        <v>321391.81999999954</v>
      </c>
    </row>
    <row r="34" spans="1:4">
      <c r="B34" s="265"/>
      <c r="C34" s="170" t="s">
        <v>374</v>
      </c>
      <c r="D34" s="170"/>
    </row>
    <row r="35" spans="1:4">
      <c r="B35" s="265"/>
      <c r="C35" s="170" t="s">
        <v>374</v>
      </c>
      <c r="D35" s="170"/>
    </row>
    <row r="36" spans="1:4">
      <c r="B36" s="265"/>
      <c r="C36" s="170"/>
      <c r="D36" s="170"/>
    </row>
    <row r="37" spans="1:4" ht="23.4">
      <c r="A37" s="2" t="s">
        <v>842</v>
      </c>
      <c r="B37" s="265"/>
      <c r="C37" s="141"/>
      <c r="D37" s="141"/>
    </row>
    <row r="38" spans="1:4" s="4" customFormat="1">
      <c r="B38" s="265"/>
      <c r="C38" s="174"/>
      <c r="D38" s="174"/>
    </row>
    <row r="39" spans="1:4" s="4" customFormat="1">
      <c r="B39" s="265"/>
      <c r="C39" s="376" t="s">
        <v>396</v>
      </c>
      <c r="D39" s="376"/>
    </row>
    <row r="40" spans="1:4">
      <c r="B40" s="265" t="s">
        <v>376</v>
      </c>
      <c r="C40" s="266">
        <v>2017</v>
      </c>
      <c r="D40" s="266">
        <v>2016</v>
      </c>
    </row>
    <row r="41" spans="1:4">
      <c r="A41" s="3" t="s">
        <v>397</v>
      </c>
      <c r="B41" s="265"/>
      <c r="C41" s="141"/>
      <c r="D41" s="141"/>
    </row>
    <row r="42" spans="1:4">
      <c r="A42" s="3" t="s">
        <v>398</v>
      </c>
      <c r="B42" s="265"/>
      <c r="C42" s="176"/>
      <c r="D42" s="176"/>
    </row>
    <row r="43" spans="1:4">
      <c r="A43" s="10" t="s">
        <v>399</v>
      </c>
      <c r="B43" s="265" t="s">
        <v>521</v>
      </c>
      <c r="C43" s="170">
        <f>'Saldobalanse 2017'!D6</f>
        <v>1332790</v>
      </c>
      <c r="D43" s="179">
        <f>'Saldobalanse 2017'!G6</f>
        <v>1332790</v>
      </c>
    </row>
    <row r="44" spans="1:4">
      <c r="A44" s="10" t="s">
        <v>429</v>
      </c>
      <c r="B44" s="265" t="s">
        <v>522</v>
      </c>
      <c r="C44" s="171">
        <f>'Saldobalanse 2017'!D11</f>
        <v>179951</v>
      </c>
      <c r="D44" s="171">
        <f>'Saldobalanse 2017'!G11</f>
        <v>169585</v>
      </c>
    </row>
    <row r="45" spans="1:4">
      <c r="A45" s="3" t="s">
        <v>400</v>
      </c>
      <c r="B45" s="265"/>
      <c r="C45" s="172">
        <f>SUM(C43:C44)</f>
        <v>1512741</v>
      </c>
      <c r="D45" s="172">
        <f>SUM(D43:D44)</f>
        <v>1502375</v>
      </c>
    </row>
    <row r="46" spans="1:4">
      <c r="B46" s="265"/>
      <c r="C46" s="170"/>
      <c r="D46" s="170"/>
    </row>
    <row r="47" spans="1:4">
      <c r="A47" s="3" t="s">
        <v>401</v>
      </c>
      <c r="B47" s="265"/>
      <c r="C47" s="141"/>
      <c r="D47" s="170"/>
    </row>
    <row r="48" spans="1:4">
      <c r="A48" t="s">
        <v>402</v>
      </c>
      <c r="B48" s="265" t="s">
        <v>380</v>
      </c>
      <c r="C48" s="170">
        <f>'Saldobalanse 2017'!D12</f>
        <v>72707.63</v>
      </c>
      <c r="D48" s="170">
        <f>'Saldobalanse 2017'!G12</f>
        <v>65282</v>
      </c>
    </row>
    <row r="49" spans="1:6">
      <c r="A49" t="s">
        <v>22</v>
      </c>
      <c r="B49" s="265" t="s">
        <v>380</v>
      </c>
      <c r="C49" s="170">
        <f>'Saldobalanse 2017'!D15</f>
        <v>111100</v>
      </c>
      <c r="D49" s="170">
        <f>'Saldobalanse 2017'!G15</f>
        <v>113396.48000000001</v>
      </c>
    </row>
    <row r="50" spans="1:6">
      <c r="A50" t="s">
        <v>403</v>
      </c>
      <c r="B50" s="265" t="s">
        <v>380</v>
      </c>
      <c r="C50" s="170">
        <f>'Saldobalanse 2017'!D21</f>
        <v>141831.5</v>
      </c>
      <c r="D50" s="170">
        <f>'Saldobalanse 2017'!G21</f>
        <v>190927</v>
      </c>
    </row>
    <row r="51" spans="1:6">
      <c r="A51" t="s">
        <v>404</v>
      </c>
      <c r="B51" s="265" t="s">
        <v>405</v>
      </c>
      <c r="C51" s="171">
        <f>'Saldobalanse 2017'!D37</f>
        <v>2048411.6</v>
      </c>
      <c r="D51" s="171">
        <f>'Saldobalanse 2017'!G37</f>
        <v>1737446.27</v>
      </c>
    </row>
    <row r="52" spans="1:6">
      <c r="A52" s="3" t="s">
        <v>406</v>
      </c>
      <c r="B52" s="265"/>
      <c r="C52" s="172">
        <f>SUM(C48:C51)</f>
        <v>2374050.73</v>
      </c>
      <c r="D52" s="172">
        <f>SUM(D48:D51)</f>
        <v>2107051.75</v>
      </c>
    </row>
    <row r="53" spans="1:6">
      <c r="B53" s="265"/>
      <c r="C53" s="170"/>
      <c r="D53" s="170"/>
    </row>
    <row r="54" spans="1:6">
      <c r="A54" s="3" t="s">
        <v>407</v>
      </c>
      <c r="B54" s="265"/>
      <c r="C54" s="172">
        <f>C45+C52</f>
        <v>3886791.73</v>
      </c>
      <c r="D54" s="172">
        <f>D45+D52</f>
        <v>3609426.75</v>
      </c>
    </row>
    <row r="55" spans="1:6">
      <c r="B55" s="265"/>
      <c r="C55" s="141"/>
      <c r="D55" s="170"/>
    </row>
    <row r="56" spans="1:6">
      <c r="B56" s="265"/>
      <c r="C56" s="141"/>
      <c r="D56" s="170"/>
    </row>
    <row r="57" spans="1:6" ht="21">
      <c r="A57" s="98" t="str">
        <f>A37</f>
        <v>Balanse pr 31.12.2017 for Oslostudentenes Idrettsklubb</v>
      </c>
      <c r="B57" s="265"/>
      <c r="C57" s="141"/>
      <c r="D57" s="170"/>
    </row>
    <row r="58" spans="1:6">
      <c r="B58" s="265"/>
      <c r="C58" s="141"/>
      <c r="D58" s="170"/>
    </row>
    <row r="59" spans="1:6">
      <c r="B59" s="265"/>
      <c r="C59" s="377" t="s">
        <v>396</v>
      </c>
      <c r="D59" s="377"/>
    </row>
    <row r="60" spans="1:6">
      <c r="B60" s="265" t="s">
        <v>376</v>
      </c>
      <c r="C60" s="267">
        <f>C40</f>
        <v>2017</v>
      </c>
      <c r="D60" s="181">
        <f>D40</f>
        <v>2016</v>
      </c>
    </row>
    <row r="61" spans="1:6">
      <c r="A61" s="3" t="s">
        <v>408</v>
      </c>
      <c r="B61" s="265"/>
      <c r="C61" s="141"/>
      <c r="D61" s="170"/>
    </row>
    <row r="62" spans="1:6">
      <c r="A62" s="16" t="s">
        <v>431</v>
      </c>
      <c r="B62" s="265" t="s">
        <v>409</v>
      </c>
      <c r="C62" s="170">
        <f>'Saldobalanse 2017'!D76</f>
        <v>-637309.85000000009</v>
      </c>
      <c r="D62" s="170">
        <f>'Saldobalanse 2017'!G76</f>
        <v>-637309.85000000009</v>
      </c>
    </row>
    <row r="63" spans="1:6">
      <c r="A63" s="16" t="s">
        <v>432</v>
      </c>
      <c r="B63" s="265"/>
      <c r="C63" s="171">
        <f>'Saldobalanse 2017'!D84</f>
        <v>-1395161.5100000005</v>
      </c>
      <c r="D63" s="171">
        <f>'Saldobalanse 2017'!G84</f>
        <v>-958129.59999999963</v>
      </c>
    </row>
    <row r="64" spans="1:6">
      <c r="A64" s="3" t="s">
        <v>410</v>
      </c>
      <c r="B64" s="265"/>
      <c r="C64" s="172">
        <f>SUM(C62:C63)</f>
        <v>-2032471.3600000006</v>
      </c>
      <c r="D64" s="172">
        <f>SUM(D62:D63)</f>
        <v>-1595439.4499999997</v>
      </c>
      <c r="F64" s="7"/>
    </row>
    <row r="65" spans="1:6">
      <c r="B65" s="265"/>
      <c r="C65" s="141"/>
      <c r="D65" s="170"/>
    </row>
    <row r="66" spans="1:6">
      <c r="A66" s="3" t="s">
        <v>411</v>
      </c>
      <c r="B66" s="265"/>
      <c r="C66" s="141"/>
      <c r="D66" s="170"/>
      <c r="F66" t="s">
        <v>374</v>
      </c>
    </row>
    <row r="67" spans="1:6">
      <c r="A67" s="16" t="s">
        <v>433</v>
      </c>
      <c r="B67" s="265" t="s">
        <v>521</v>
      </c>
      <c r="C67" s="170">
        <f>'Saldobalanse 2017'!D91</f>
        <v>-20000</v>
      </c>
      <c r="D67" s="170">
        <f>'Saldobalanse 2017'!G91</f>
        <v>-20000</v>
      </c>
    </row>
    <row r="68" spans="1:6">
      <c r="A68" t="s">
        <v>413</v>
      </c>
      <c r="B68" s="265" t="s">
        <v>521</v>
      </c>
      <c r="C68" s="171">
        <f>'Saldobalanse 2017'!D87</f>
        <v>-1312790</v>
      </c>
      <c r="D68" s="171">
        <f>'Saldobalanse 2017'!G87</f>
        <v>-1312790</v>
      </c>
    </row>
    <row r="69" spans="1:6">
      <c r="A69" s="3" t="s">
        <v>415</v>
      </c>
      <c r="B69" s="265"/>
      <c r="C69" s="172">
        <f>SUM(C67:C68)</f>
        <v>-1332790</v>
      </c>
      <c r="D69" s="172">
        <f>SUM(D67:D68)</f>
        <v>-1332790</v>
      </c>
    </row>
    <row r="70" spans="1:6">
      <c r="B70" s="265"/>
      <c r="C70" s="141"/>
      <c r="D70" s="170"/>
    </row>
    <row r="71" spans="1:6">
      <c r="A71" s="3" t="s">
        <v>416</v>
      </c>
      <c r="B71" s="265"/>
      <c r="C71" s="141"/>
      <c r="D71" s="170"/>
    </row>
    <row r="72" spans="1:6">
      <c r="A72" t="s">
        <v>144</v>
      </c>
      <c r="B72" s="265"/>
      <c r="C72" s="170">
        <f>'Saldobalanse 2017'!D88</f>
        <v>-449203.53</v>
      </c>
      <c r="D72" s="170">
        <f>'Saldobalanse 2017'!G88</f>
        <v>-562768.36</v>
      </c>
    </row>
    <row r="73" spans="1:6">
      <c r="A73" t="s">
        <v>417</v>
      </c>
      <c r="B73" s="265" t="s">
        <v>405</v>
      </c>
      <c r="C73" s="170">
        <f>'Saldobalanse 2017'!D93</f>
        <v>-50077.34</v>
      </c>
      <c r="D73" s="170">
        <f>'Saldobalanse 2017'!G93</f>
        <v>-31009.059999999998</v>
      </c>
    </row>
    <row r="74" spans="1:6">
      <c r="A74" t="s">
        <v>146</v>
      </c>
      <c r="B74" s="265" t="s">
        <v>374</v>
      </c>
      <c r="C74" s="171">
        <f>'Saldobalanse 2017'!D99</f>
        <v>-22249.5</v>
      </c>
      <c r="D74" s="171">
        <f>'Saldobalanse 2017'!G99</f>
        <v>-87419.88</v>
      </c>
    </row>
    <row r="75" spans="1:6">
      <c r="A75" s="3" t="s">
        <v>418</v>
      </c>
      <c r="B75" s="265"/>
      <c r="C75" s="172">
        <f>SUM(C72:C74)</f>
        <v>-521530.37</v>
      </c>
      <c r="D75" s="172">
        <f>SUM(D72:D74)</f>
        <v>-681197.29999999993</v>
      </c>
    </row>
    <row r="76" spans="1:6">
      <c r="B76" s="265"/>
      <c r="C76" s="141"/>
      <c r="D76" s="170"/>
    </row>
    <row r="77" spans="1:6">
      <c r="A77" s="3" t="s">
        <v>419</v>
      </c>
      <c r="B77" s="265"/>
      <c r="C77" s="172">
        <f>C64+C69+C75</f>
        <v>-3886791.7300000004</v>
      </c>
      <c r="D77" s="172">
        <f>D64+D69+D75</f>
        <v>-3609426.7499999995</v>
      </c>
    </row>
    <row r="78" spans="1:6">
      <c r="C78" s="141"/>
      <c r="D78" s="141"/>
    </row>
    <row r="79" spans="1:6">
      <c r="B79" s="3" t="s">
        <v>840</v>
      </c>
    </row>
    <row r="81" spans="1:4" ht="13.2">
      <c r="A81" s="95" t="s">
        <v>536</v>
      </c>
      <c r="B81" s="96" t="s">
        <v>420</v>
      </c>
      <c r="D81" s="96" t="s">
        <v>420</v>
      </c>
    </row>
    <row r="82" spans="1:4" ht="13.2">
      <c r="A82" s="95"/>
      <c r="B82" s="96"/>
      <c r="D82" s="96"/>
    </row>
    <row r="83" spans="1:4" ht="13.2">
      <c r="A83" s="95" t="s">
        <v>420</v>
      </c>
      <c r="B83" s="96" t="s">
        <v>420</v>
      </c>
      <c r="D83" s="96" t="s">
        <v>420</v>
      </c>
    </row>
    <row r="84" spans="1:4" ht="13.2">
      <c r="A84" s="11"/>
      <c r="B84" s="11"/>
      <c r="C84" s="16" t="s">
        <v>374</v>
      </c>
      <c r="D84" s="11"/>
    </row>
    <row r="85" spans="1:4" ht="13.2">
      <c r="A85" s="11" t="s">
        <v>420</v>
      </c>
      <c r="B85" s="97" t="s">
        <v>420</v>
      </c>
      <c r="D85" s="97" t="s">
        <v>420</v>
      </c>
    </row>
    <row r="86" spans="1:4" ht="13.2">
      <c r="A86" s="11"/>
      <c r="B86" s="12"/>
      <c r="C86" s="11"/>
      <c r="D86" s="11"/>
    </row>
    <row r="87" spans="1:4" ht="13.2">
      <c r="A87" s="11" t="s">
        <v>420</v>
      </c>
      <c r="B87" s="13" t="s">
        <v>420</v>
      </c>
      <c r="C87" s="11"/>
      <c r="D87" s="97" t="s">
        <v>420</v>
      </c>
    </row>
    <row r="88" spans="1:4" ht="13.2">
      <c r="A88" s="11"/>
      <c r="B88" s="12"/>
      <c r="C88" s="11"/>
    </row>
    <row r="89" spans="1:4" ht="13.2">
      <c r="A89" s="11"/>
      <c r="B89" s="12"/>
      <c r="C89" s="11"/>
    </row>
    <row r="90" spans="1:4" ht="13.2">
      <c r="A90" s="11"/>
      <c r="B90" s="12"/>
      <c r="C90" s="11"/>
      <c r="D90" s="11"/>
    </row>
    <row r="91" spans="1:4" ht="13.2">
      <c r="A91" s="11"/>
      <c r="B91" s="12"/>
      <c r="C91" s="284"/>
      <c r="D91" s="11"/>
    </row>
    <row r="92" spans="1:4" ht="13.2">
      <c r="A92" s="11"/>
      <c r="B92" s="12"/>
      <c r="C92" s="284"/>
      <c r="D92" s="284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7"/>
  <sheetViews>
    <sheetView topLeftCell="A31" workbookViewId="0">
      <selection activeCell="D23" sqref="D23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51" customWidth="1"/>
    <col min="4" max="4" width="15.88671875" style="51" customWidth="1"/>
    <col min="5" max="6" width="13.5546875" style="51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52"/>
      <c r="I1" s="51"/>
    </row>
    <row r="2" spans="1:9" ht="15.6">
      <c r="A2" s="49" t="s">
        <v>860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>
      <c r="A32" s="56" t="s">
        <v>459</v>
      </c>
      <c r="B32" s="54" t="s">
        <v>460</v>
      </c>
      <c r="I32" s="51"/>
    </row>
    <row r="33" spans="1:11">
      <c r="A33" s="56"/>
      <c r="B33" s="54"/>
      <c r="E33" s="57"/>
      <c r="I33" s="51"/>
    </row>
    <row r="34" spans="1:11" ht="14.4">
      <c r="A34" s="56"/>
      <c r="B34" s="55" t="s">
        <v>461</v>
      </c>
      <c r="C34" s="58" t="s">
        <v>843</v>
      </c>
      <c r="D34" s="58" t="s">
        <v>795</v>
      </c>
      <c r="I34" s="51"/>
    </row>
    <row r="35" spans="1:11" ht="14.4">
      <c r="A35" s="56"/>
      <c r="B35" s="10" t="s">
        <v>463</v>
      </c>
      <c r="C35" s="151">
        <f>'Saldobalanse 2017'!C143+'Saldobalanse 2017'!C144+'Saldobalanse 2017'!C145+'Saldobalanse 2017'!C146+'Saldobalanse 2017'!C147+'Saldobalanse 2017'!C148+'Saldobalanse 2017'!C149+'Saldobalanse 2017'!C150+'Saldobalanse 2017'!C152+'Saldobalanse 2017'!C153</f>
        <v>1004510.4</v>
      </c>
      <c r="D35" s="152">
        <f>'Saldobalanse 2017'!F143++'Saldobalanse 2017'!F144+'Saldobalanse 2017'!F145+'Saldobalanse 2017'!F146+'Saldobalanse 2017'!F147+'Saldobalanse 2017'!F148+'Saldobalanse 2017'!F149+'Saldobalanse 2017'!F150+'Saldobalanse 2017'!F152+'Saldobalanse 2017'!F153</f>
        <v>855248.29</v>
      </c>
      <c r="E35" s="65"/>
      <c r="F35" s="65"/>
      <c r="I35" s="51"/>
    </row>
    <row r="36" spans="1:11">
      <c r="A36" s="56"/>
      <c r="B36" s="10" t="s">
        <v>232</v>
      </c>
      <c r="C36" s="152">
        <f>'Saldobalanse 2017'!C154+'Saldobalanse 2017'!C155</f>
        <v>138876.47</v>
      </c>
      <c r="D36" s="152">
        <f>'Saldobalanse 2017'!F154+'Saldobalanse 2017'!F155</f>
        <v>104019.89</v>
      </c>
      <c r="E36" s="65"/>
      <c r="F36" s="65"/>
      <c r="I36" s="51"/>
    </row>
    <row r="37" spans="1:11">
      <c r="A37" s="56"/>
      <c r="B37" s="10" t="s">
        <v>464</v>
      </c>
      <c r="C37" s="152">
        <f>'Saldobalanse 2017'!C161</f>
        <v>8360.5300000000007</v>
      </c>
      <c r="D37" s="152">
        <f>'Saldobalanse 2017'!F161</f>
        <v>8208</v>
      </c>
      <c r="E37" s="65"/>
      <c r="F37" s="65"/>
      <c r="I37" s="51"/>
    </row>
    <row r="38" spans="1:11">
      <c r="A38" s="56"/>
      <c r="B38" s="10" t="s">
        <v>465</v>
      </c>
      <c r="C38" s="153">
        <f>'Saldobalanse 2017'!C151+'Saldobalanse 2017'!C156+'Saldobalanse 2017'!C157+'Saldobalanse 2017'!C158+'Saldobalanse 2017'!C159+'Saldobalanse 2017'!C160+'Saldobalanse 2017'!C162</f>
        <v>17149.080000000002</v>
      </c>
      <c r="D38" s="153">
        <f>'Saldobalanse 2017'!F151+'Saldobalanse 2017'!F156+'Saldobalanse 2017'!F157+'Saldobalanse 2017'!F158+'Saldobalanse 2017'!F159+'Saldobalanse 2017'!F160+'Saldobalanse 2017'!F162</f>
        <v>18645.190000000002</v>
      </c>
      <c r="E38" s="65"/>
      <c r="F38" s="65"/>
      <c r="I38" s="51"/>
    </row>
    <row r="39" spans="1:11">
      <c r="A39" s="56"/>
      <c r="B39" s="10" t="s">
        <v>466</v>
      </c>
      <c r="C39" s="152">
        <f>SUM(C35:C38)</f>
        <v>1168896.4800000002</v>
      </c>
      <c r="D39" s="152">
        <f>SUM(D35:D38)</f>
        <v>986121.37000000011</v>
      </c>
      <c r="E39" s="65"/>
      <c r="F39" s="65"/>
      <c r="H39" s="147"/>
      <c r="I39" s="147"/>
      <c r="J39" s="147"/>
      <c r="K39" s="147"/>
    </row>
    <row r="40" spans="1:11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>
      <c r="A41" s="56"/>
      <c r="B41" s="138" t="s">
        <v>844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846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847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848</v>
      </c>
      <c r="C44" s="65"/>
      <c r="D44" s="65"/>
      <c r="E44" s="65"/>
      <c r="F44" s="65"/>
      <c r="H44" s="147"/>
      <c r="I44" s="147"/>
      <c r="J44" s="147"/>
      <c r="K44" s="147"/>
    </row>
    <row r="45" spans="1:11">
      <c r="B45" s="133" t="s">
        <v>845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>
      <c r="A52" s="56"/>
      <c r="B52" s="54"/>
      <c r="C52" s="157"/>
      <c r="D52" s="157"/>
      <c r="E52" s="157"/>
      <c r="F52" s="72"/>
      <c r="G52" s="57"/>
      <c r="I52" s="51"/>
    </row>
    <row r="53" spans="1:10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849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12227000</v>
      </c>
      <c r="E60" s="72"/>
      <c r="F60" s="158"/>
      <c r="G60" s="82"/>
      <c r="I60" s="51"/>
    </row>
    <row r="61" spans="1:10">
      <c r="A61" s="57"/>
      <c r="B61" s="138" t="s">
        <v>732</v>
      </c>
      <c r="C61" s="145"/>
      <c r="D61" s="135">
        <v>11368000</v>
      </c>
      <c r="E61" s="72"/>
      <c r="F61" s="158"/>
      <c r="G61" s="82"/>
      <c r="I61" s="51"/>
    </row>
    <row r="62" spans="1:10">
      <c r="A62" s="57"/>
      <c r="B62" s="138" t="s">
        <v>733</v>
      </c>
      <c r="C62" s="145"/>
      <c r="D62" s="135">
        <v>4307000</v>
      </c>
      <c r="E62" s="72"/>
      <c r="F62" s="158"/>
      <c r="G62" s="82"/>
      <c r="I62" s="51"/>
    </row>
    <row r="63" spans="1:10">
      <c r="A63" s="57"/>
      <c r="B63" s="138" t="s">
        <v>734</v>
      </c>
      <c r="C63" s="145"/>
      <c r="D63" s="134">
        <v>1626000</v>
      </c>
      <c r="E63" s="72"/>
      <c r="F63" s="158"/>
      <c r="G63" s="82"/>
      <c r="I63" s="51"/>
    </row>
    <row r="64" spans="1:10">
      <c r="A64" s="57"/>
      <c r="B64" s="138" t="s">
        <v>735</v>
      </c>
      <c r="C64" s="145"/>
      <c r="D64" s="158">
        <f>SUM(D60:D63)</f>
        <v>29528000</v>
      </c>
      <c r="E64" s="158"/>
      <c r="F64" s="158"/>
      <c r="G64" s="57"/>
      <c r="I64" s="51"/>
      <c r="J64" s="149"/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849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862</v>
      </c>
      <c r="C72" s="145"/>
      <c r="D72" s="72"/>
      <c r="E72" s="72"/>
      <c r="F72" s="158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849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-2633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-5088</v>
      </c>
      <c r="E87" s="65"/>
      <c r="F87" s="72"/>
      <c r="G87" s="57"/>
      <c r="I87" s="51"/>
    </row>
    <row r="88" spans="1:9">
      <c r="A88" s="57"/>
      <c r="B88" s="133" t="s">
        <v>849</v>
      </c>
      <c r="C88" s="145"/>
      <c r="D88" s="158">
        <f>SUM(D85:D87)</f>
        <v>14173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-17500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849</v>
      </c>
      <c r="C95" s="145"/>
      <c r="D95" s="135">
        <f>SUM(D92:D94)</f>
        <v>42500</v>
      </c>
      <c r="E95" s="135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-30951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-24755</v>
      </c>
      <c r="E102" s="72"/>
      <c r="F102" s="72"/>
      <c r="G102" s="57"/>
      <c r="I102" s="51"/>
    </row>
    <row r="103" spans="1:9">
      <c r="A103" s="57"/>
      <c r="B103" s="133" t="s">
        <v>849</v>
      </c>
      <c r="C103" s="145"/>
      <c r="D103" s="135">
        <f>SUM(D99:D102)</f>
        <v>68068.94</v>
      </c>
      <c r="E103" s="135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33"/>
      <c r="C105" s="145"/>
      <c r="D105" s="72"/>
      <c r="E105" s="72"/>
      <c r="F105" s="72"/>
      <c r="G105" s="57"/>
      <c r="I105" s="51"/>
    </row>
    <row r="106" spans="1:9">
      <c r="A106" s="57"/>
      <c r="B106" s="54" t="s">
        <v>850</v>
      </c>
      <c r="C106" s="145"/>
      <c r="D106" s="72"/>
      <c r="E106" s="72"/>
      <c r="F106" s="72"/>
      <c r="G106" s="57"/>
      <c r="I106" s="51"/>
    </row>
    <row r="107" spans="1:9">
      <c r="A107" s="57"/>
      <c r="B107" s="133" t="s">
        <v>851</v>
      </c>
      <c r="C107" s="145"/>
      <c r="D107" s="158">
        <v>62110</v>
      </c>
      <c r="E107" s="72"/>
      <c r="F107" s="72"/>
      <c r="G107" s="57"/>
      <c r="I107" s="51"/>
    </row>
    <row r="108" spans="1:9">
      <c r="A108" s="57"/>
      <c r="B108" s="133" t="s">
        <v>801</v>
      </c>
      <c r="C108" s="145"/>
      <c r="D108" s="287">
        <v>0</v>
      </c>
      <c r="E108" s="72"/>
      <c r="F108" s="72"/>
      <c r="G108" s="57"/>
      <c r="I108" s="51"/>
    </row>
    <row r="109" spans="1:9" ht="13.8" thickBot="1">
      <c r="A109" s="57"/>
      <c r="B109" s="133" t="s">
        <v>721</v>
      </c>
      <c r="C109" s="145"/>
      <c r="D109" s="286">
        <v>-6901</v>
      </c>
      <c r="E109" s="72"/>
      <c r="F109" s="72"/>
      <c r="G109" s="57"/>
      <c r="I109" s="51"/>
    </row>
    <row r="110" spans="1:9">
      <c r="A110" s="57"/>
      <c r="B110" s="133" t="s">
        <v>849</v>
      </c>
      <c r="C110" s="145"/>
      <c r="D110" s="158">
        <f>SUM(D107:D109)</f>
        <v>55209</v>
      </c>
      <c r="E110" s="72"/>
      <c r="F110" s="72"/>
      <c r="G110" s="57"/>
      <c r="I110" s="51"/>
    </row>
    <row r="111" spans="1:9">
      <c r="A111" s="57"/>
      <c r="B111" s="133" t="s">
        <v>852</v>
      </c>
      <c r="C111" s="145"/>
      <c r="D111" s="72"/>
      <c r="E111" s="72"/>
      <c r="F111" s="72"/>
      <c r="G111" s="57"/>
      <c r="I111" s="51"/>
    </row>
    <row r="112" spans="1:9">
      <c r="A112" s="57"/>
      <c r="B112" s="133"/>
      <c r="C112" s="145"/>
      <c r="D112" s="72"/>
      <c r="E112" s="72"/>
      <c r="F112" s="72"/>
      <c r="G112" s="57"/>
      <c r="I112" s="51"/>
    </row>
    <row r="113" spans="1:9">
      <c r="A113" s="57"/>
      <c r="B113" s="133"/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>
      <c r="A115" s="70" t="s">
        <v>475</v>
      </c>
      <c r="B115" s="54" t="s">
        <v>476</v>
      </c>
      <c r="C115" s="65"/>
      <c r="D115" s="65"/>
      <c r="E115" s="65"/>
      <c r="F115" s="65"/>
    </row>
    <row r="116" spans="1:9">
      <c r="A116" s="57"/>
      <c r="B116" s="133" t="s">
        <v>853</v>
      </c>
      <c r="C116" s="65"/>
      <c r="D116" s="65"/>
      <c r="E116" s="65"/>
      <c r="F116" s="65"/>
    </row>
    <row r="117" spans="1:9">
      <c r="A117" s="57"/>
      <c r="B117" s="133" t="s">
        <v>854</v>
      </c>
      <c r="C117" s="65"/>
      <c r="D117" s="65"/>
      <c r="E117" s="65"/>
      <c r="F117" s="65"/>
    </row>
    <row r="118" spans="1:9">
      <c r="B118" s="10"/>
      <c r="C118" s="65"/>
      <c r="D118" s="65"/>
      <c r="E118" s="65"/>
      <c r="F118" s="65"/>
    </row>
    <row r="119" spans="1:9">
      <c r="B119" s="10"/>
      <c r="C119" s="65"/>
      <c r="D119" s="65"/>
      <c r="E119" s="65"/>
      <c r="F119" s="65"/>
    </row>
    <row r="120" spans="1:9">
      <c r="A120" s="71" t="s">
        <v>477</v>
      </c>
      <c r="B120" s="54" t="s">
        <v>478</v>
      </c>
      <c r="C120" s="65"/>
      <c r="D120" s="65"/>
      <c r="E120" s="65"/>
      <c r="F120" s="65"/>
    </row>
    <row r="121" spans="1:9">
      <c r="B121" s="57" t="s">
        <v>527</v>
      </c>
      <c r="C121" s="163" t="s">
        <v>855</v>
      </c>
      <c r="D121" s="164" t="s">
        <v>534</v>
      </c>
      <c r="E121" s="165" t="s">
        <v>856</v>
      </c>
      <c r="F121" s="72"/>
      <c r="I121" s="51"/>
    </row>
    <row r="122" spans="1:9">
      <c r="B122" s="57" t="s">
        <v>528</v>
      </c>
      <c r="C122" s="158">
        <v>-541013.30000000005</v>
      </c>
      <c r="D122" s="158"/>
      <c r="E122" s="166">
        <f>C122</f>
        <v>-541013.30000000005</v>
      </c>
      <c r="F122" s="72"/>
      <c r="I122" s="51"/>
    </row>
    <row r="123" spans="1:9">
      <c r="B123" s="73" t="s">
        <v>126</v>
      </c>
      <c r="C123" s="161">
        <v>-96296.55</v>
      </c>
      <c r="D123" s="161"/>
      <c r="E123" s="167">
        <f>C123</f>
        <v>-96296.55</v>
      </c>
      <c r="F123" s="72"/>
      <c r="I123" s="51"/>
    </row>
    <row r="124" spans="1:9">
      <c r="B124" s="73"/>
      <c r="C124" s="158"/>
      <c r="D124" s="158"/>
      <c r="E124" s="168"/>
      <c r="F124" s="72"/>
      <c r="I124" s="51"/>
    </row>
    <row r="125" spans="1:9">
      <c r="B125" s="73" t="s">
        <v>531</v>
      </c>
      <c r="C125" s="158">
        <f>SUM(C122:C124)</f>
        <v>-637309.85000000009</v>
      </c>
      <c r="D125" s="158">
        <f>SUM(D122:D124)</f>
        <v>0</v>
      </c>
      <c r="E125" s="166">
        <f>SUM(E121:E124)</f>
        <v>-637309.85000000009</v>
      </c>
      <c r="F125" s="72" t="s">
        <v>374</v>
      </c>
      <c r="I125" s="51"/>
    </row>
    <row r="126" spans="1:9">
      <c r="B126" t="s">
        <v>374</v>
      </c>
      <c r="C126" s="169" t="s">
        <v>374</v>
      </c>
      <c r="D126" s="65"/>
      <c r="E126" s="72"/>
      <c r="F126" s="72"/>
      <c r="I126" s="51"/>
    </row>
    <row r="127" spans="1:9">
      <c r="C127" s="91" t="s">
        <v>855</v>
      </c>
      <c r="D127" s="91" t="s">
        <v>532</v>
      </c>
      <c r="E127" s="163" t="s">
        <v>806</v>
      </c>
      <c r="F127" s="72"/>
      <c r="I127" s="51"/>
    </row>
    <row r="128" spans="1:9">
      <c r="B128" s="73" t="s">
        <v>432</v>
      </c>
      <c r="C128" s="136">
        <v>-958130</v>
      </c>
      <c r="D128" s="136">
        <v>-437031.91</v>
      </c>
      <c r="E128" s="136">
        <f>SUM(C128:D128)</f>
        <v>-1395161.91</v>
      </c>
      <c r="F128" s="72"/>
      <c r="G128" s="150"/>
      <c r="I128" s="51"/>
    </row>
    <row r="129" spans="1:18">
      <c r="B129"/>
      <c r="C129" s="137"/>
      <c r="D129" s="137"/>
      <c r="E129" s="137"/>
      <c r="F129" s="72"/>
      <c r="G129" s="65"/>
      <c r="H129" s="65"/>
    </row>
    <row r="130" spans="1:18">
      <c r="B130" s="46" t="s">
        <v>533</v>
      </c>
      <c r="C130" s="137">
        <f t="shared" ref="C130:D130" si="0">C125+C128</f>
        <v>-1595439.85</v>
      </c>
      <c r="D130" s="137">
        <f t="shared" si="0"/>
        <v>-437031.91</v>
      </c>
      <c r="E130" s="137">
        <f>E125+E128</f>
        <v>-2032471.76</v>
      </c>
      <c r="F130" s="72"/>
      <c r="G130" s="65"/>
      <c r="H130" s="65"/>
    </row>
    <row r="131" spans="1:18">
      <c r="B131" s="46"/>
      <c r="C131" s="137"/>
      <c r="D131" s="137"/>
      <c r="E131" s="137"/>
      <c r="F131" s="72"/>
      <c r="G131" s="65"/>
      <c r="H131" s="65"/>
    </row>
    <row r="132" spans="1:18">
      <c r="A132" s="57"/>
      <c r="B132" s="10"/>
      <c r="C132" s="57"/>
      <c r="D132" s="57"/>
      <c r="E132" s="57"/>
      <c r="F132" s="67"/>
      <c r="G132" s="57"/>
      <c r="H132" s="57"/>
      <c r="I132" s="51"/>
    </row>
    <row r="133" spans="1:18">
      <c r="A133" s="149" t="s">
        <v>810</v>
      </c>
    </row>
    <row r="134" spans="1:18">
      <c r="A134" s="149" t="s">
        <v>760</v>
      </c>
    </row>
    <row r="135" spans="1:18">
      <c r="A135" s="149" t="s">
        <v>761</v>
      </c>
    </row>
    <row r="137" spans="1:18">
      <c r="A137" s="387" t="s">
        <v>757</v>
      </c>
      <c r="B137" s="387" t="s">
        <v>1</v>
      </c>
      <c r="C137" s="387" t="s">
        <v>857</v>
      </c>
      <c r="D137" s="389" t="s">
        <v>755</v>
      </c>
      <c r="E137" s="391" t="s">
        <v>858</v>
      </c>
      <c r="F137" s="387" t="s">
        <v>859</v>
      </c>
    </row>
    <row r="138" spans="1:18" ht="13.8" thickBot="1">
      <c r="A138" s="388"/>
      <c r="B138" s="388"/>
      <c r="C138" s="388"/>
      <c r="D138" s="390"/>
      <c r="E138" s="392"/>
      <c r="F138" s="388"/>
    </row>
    <row r="139" spans="1:18">
      <c r="A139" s="186">
        <v>2001</v>
      </c>
      <c r="B139" s="187" t="s">
        <v>566</v>
      </c>
      <c r="C139" s="269">
        <v>-22875.1</v>
      </c>
      <c r="D139" s="188">
        <v>0</v>
      </c>
      <c r="E139" s="271">
        <v>1684.85</v>
      </c>
      <c r="F139" s="190">
        <f>SUM(C139:E139)</f>
        <v>-21190.25</v>
      </c>
    </row>
    <row r="140" spans="1:18">
      <c r="A140" s="191">
        <v>2002</v>
      </c>
      <c r="B140" s="182" t="s">
        <v>58</v>
      </c>
      <c r="C140" s="270">
        <v>18545.86</v>
      </c>
      <c r="D140" s="183">
        <v>0</v>
      </c>
      <c r="E140" s="272">
        <v>-11568.12</v>
      </c>
      <c r="F140" s="192">
        <f t="shared" ref="F140:F182" si="1">SUM(C140:E140)</f>
        <v>6977.74</v>
      </c>
    </row>
    <row r="141" spans="1:18">
      <c r="A141" s="191">
        <v>2003</v>
      </c>
      <c r="B141" s="182" t="s">
        <v>60</v>
      </c>
      <c r="C141" s="270">
        <v>-64249.71</v>
      </c>
      <c r="D141" s="183">
        <v>0</v>
      </c>
      <c r="E141" s="272">
        <v>70587.14</v>
      </c>
      <c r="F141" s="192">
        <f t="shared" si="1"/>
        <v>6337.43</v>
      </c>
    </row>
    <row r="142" spans="1:18">
      <c r="A142" s="191">
        <v>2004</v>
      </c>
      <c r="B142" s="182" t="s">
        <v>62</v>
      </c>
      <c r="C142" s="270">
        <v>-58899.99</v>
      </c>
      <c r="D142" s="183">
        <v>0</v>
      </c>
      <c r="E142" s="272">
        <v>23411.9</v>
      </c>
      <c r="F142" s="192">
        <f t="shared" si="1"/>
        <v>-35488.089999999997</v>
      </c>
    </row>
    <row r="143" spans="1:18">
      <c r="A143" s="191">
        <v>2005</v>
      </c>
      <c r="B143" s="182" t="s">
        <v>64</v>
      </c>
      <c r="C143" s="270">
        <v>13449.71</v>
      </c>
      <c r="D143" s="183">
        <v>0</v>
      </c>
      <c r="E143" s="272">
        <v>2321.5</v>
      </c>
      <c r="F143" s="192">
        <f t="shared" si="1"/>
        <v>15771.21</v>
      </c>
    </row>
    <row r="144" spans="1:18">
      <c r="A144" s="191">
        <v>2006</v>
      </c>
      <c r="B144" s="182" t="s">
        <v>66</v>
      </c>
      <c r="C144" s="270">
        <v>-35713.620000000003</v>
      </c>
      <c r="D144" s="183">
        <v>0</v>
      </c>
      <c r="E144" s="272">
        <v>-37275</v>
      </c>
      <c r="F144" s="192">
        <f t="shared" si="1"/>
        <v>-72988.62</v>
      </c>
      <c r="R144" s="65"/>
    </row>
    <row r="145" spans="1:6">
      <c r="A145" s="191">
        <v>2007</v>
      </c>
      <c r="B145" s="182" t="s">
        <v>68</v>
      </c>
      <c r="C145" s="270">
        <v>-38666.93</v>
      </c>
      <c r="D145" s="183">
        <v>0</v>
      </c>
      <c r="E145" s="272">
        <v>12740.74</v>
      </c>
      <c r="F145" s="192">
        <f t="shared" si="1"/>
        <v>-25926.190000000002</v>
      </c>
    </row>
    <row r="146" spans="1:6">
      <c r="A146" s="191">
        <v>2008</v>
      </c>
      <c r="B146" s="182" t="s">
        <v>70</v>
      </c>
      <c r="C146" s="270">
        <v>36498.620000000003</v>
      </c>
      <c r="D146" s="183">
        <v>0</v>
      </c>
      <c r="E146" s="272">
        <v>-18038.669999999998</v>
      </c>
      <c r="F146" s="192">
        <f t="shared" si="1"/>
        <v>18459.950000000004</v>
      </c>
    </row>
    <row r="147" spans="1:6">
      <c r="A147" s="191">
        <v>2009</v>
      </c>
      <c r="B147" s="268" t="s">
        <v>567</v>
      </c>
      <c r="C147" s="270">
        <v>-6447.45</v>
      </c>
      <c r="D147" s="183">
        <v>0</v>
      </c>
      <c r="E147" s="272">
        <v>-28055.1</v>
      </c>
      <c r="F147" s="192">
        <f t="shared" si="1"/>
        <v>-34502.549999999996</v>
      </c>
    </row>
    <row r="148" spans="1:6">
      <c r="A148" s="191">
        <v>2010</v>
      </c>
      <c r="B148" s="182" t="s">
        <v>74</v>
      </c>
      <c r="C148" s="270">
        <v>-3210.06</v>
      </c>
      <c r="D148" s="183">
        <v>0</v>
      </c>
      <c r="E148" s="272">
        <v>1490.58</v>
      </c>
      <c r="F148" s="192">
        <f t="shared" si="1"/>
        <v>-1719.48</v>
      </c>
    </row>
    <row r="149" spans="1:6">
      <c r="A149" s="191">
        <v>2011</v>
      </c>
      <c r="B149" s="182" t="s">
        <v>76</v>
      </c>
      <c r="C149" s="270">
        <v>-4617.1400000000003</v>
      </c>
      <c r="D149" s="183">
        <v>0</v>
      </c>
      <c r="E149" s="272">
        <v>2058.06</v>
      </c>
      <c r="F149" s="192">
        <f t="shared" si="1"/>
        <v>-2559.0800000000004</v>
      </c>
    </row>
    <row r="150" spans="1:6">
      <c r="A150" s="191">
        <v>2012</v>
      </c>
      <c r="B150" s="182" t="s">
        <v>78</v>
      </c>
      <c r="C150" s="270">
        <v>15698.9</v>
      </c>
      <c r="D150" s="183">
        <v>0</v>
      </c>
      <c r="E150" s="272">
        <v>-48665.52</v>
      </c>
      <c r="F150" s="192">
        <f t="shared" si="1"/>
        <v>-32966.619999999995</v>
      </c>
    </row>
    <row r="151" spans="1:6">
      <c r="A151" s="191">
        <v>2013</v>
      </c>
      <c r="B151" s="182" t="s">
        <v>80</v>
      </c>
      <c r="C151" s="270">
        <v>103498.6</v>
      </c>
      <c r="D151" s="183">
        <v>0</v>
      </c>
      <c r="E151" s="272">
        <v>-40768.53</v>
      </c>
      <c r="F151" s="192">
        <f t="shared" si="1"/>
        <v>62730.070000000007</v>
      </c>
    </row>
    <row r="152" spans="1:6">
      <c r="A152" s="191">
        <v>2014</v>
      </c>
      <c r="B152" s="182" t="s">
        <v>82</v>
      </c>
      <c r="C152" s="270">
        <v>-16098.65</v>
      </c>
      <c r="D152" s="183">
        <v>0</v>
      </c>
      <c r="E152" s="272">
        <v>-7086.4</v>
      </c>
      <c r="F152" s="192">
        <f t="shared" si="1"/>
        <v>-23185.05</v>
      </c>
    </row>
    <row r="153" spans="1:6">
      <c r="A153" s="191">
        <v>2015</v>
      </c>
      <c r="B153" s="182" t="s">
        <v>84</v>
      </c>
      <c r="C153" s="270">
        <v>7945.03</v>
      </c>
      <c r="D153" s="183">
        <v>0</v>
      </c>
      <c r="E153" s="272">
        <v>-11652.83</v>
      </c>
      <c r="F153" s="192">
        <f t="shared" si="1"/>
        <v>-3707.8</v>
      </c>
    </row>
    <row r="154" spans="1:6">
      <c r="A154" s="191">
        <v>2016</v>
      </c>
      <c r="B154" s="182" t="s">
        <v>86</v>
      </c>
      <c r="C154" s="270">
        <v>-40916.379999999997</v>
      </c>
      <c r="D154" s="183">
        <v>0</v>
      </c>
      <c r="E154" s="272">
        <v>8142.02</v>
      </c>
      <c r="F154" s="192">
        <f t="shared" si="1"/>
        <v>-32774.36</v>
      </c>
    </row>
    <row r="155" spans="1:6">
      <c r="A155" s="191">
        <v>2017</v>
      </c>
      <c r="B155" s="182" t="s">
        <v>88</v>
      </c>
      <c r="C155" s="270">
        <v>29867.14</v>
      </c>
      <c r="D155" s="183">
        <v>0</v>
      </c>
      <c r="E155" s="272">
        <v>-9977.1200000000008</v>
      </c>
      <c r="F155" s="192">
        <f t="shared" si="1"/>
        <v>19890.019999999997</v>
      </c>
    </row>
    <row r="156" spans="1:6">
      <c r="A156" s="191">
        <v>2018</v>
      </c>
      <c r="B156" s="182" t="s">
        <v>90</v>
      </c>
      <c r="C156" s="270">
        <v>-25622.95</v>
      </c>
      <c r="D156" s="183">
        <v>0</v>
      </c>
      <c r="E156" s="272">
        <v>-18999.63</v>
      </c>
      <c r="F156" s="192">
        <f t="shared" si="1"/>
        <v>-44622.58</v>
      </c>
    </row>
    <row r="157" spans="1:6">
      <c r="A157" s="191">
        <v>2019</v>
      </c>
      <c r="B157" s="182" t="s">
        <v>811</v>
      </c>
      <c r="C157" s="270">
        <v>10529.92</v>
      </c>
      <c r="D157" s="183">
        <v>0</v>
      </c>
      <c r="E157" s="272">
        <f>50+3599</f>
        <v>3649</v>
      </c>
      <c r="F157" s="192">
        <f t="shared" si="1"/>
        <v>14178.92</v>
      </c>
    </row>
    <row r="158" spans="1:6">
      <c r="A158" s="191">
        <v>2020</v>
      </c>
      <c r="B158" s="182" t="s">
        <v>94</v>
      </c>
      <c r="C158" s="270">
        <v>-5110.0600000000004</v>
      </c>
      <c r="D158" s="183">
        <v>0</v>
      </c>
      <c r="E158" s="272">
        <v>-1819.25</v>
      </c>
      <c r="F158" s="192">
        <f t="shared" si="1"/>
        <v>-6929.31</v>
      </c>
    </row>
    <row r="159" spans="1:6">
      <c r="A159" s="191">
        <v>2024</v>
      </c>
      <c r="B159" s="182" t="s">
        <v>96</v>
      </c>
      <c r="C159" s="270">
        <v>-51960.97</v>
      </c>
      <c r="D159" s="183">
        <v>0</v>
      </c>
      <c r="E159" s="272">
        <v>20466.13</v>
      </c>
      <c r="F159" s="192">
        <f t="shared" si="1"/>
        <v>-31494.84</v>
      </c>
    </row>
    <row r="160" spans="1:6">
      <c r="A160" s="191">
        <v>2025</v>
      </c>
      <c r="B160" s="182" t="s">
        <v>98</v>
      </c>
      <c r="C160" s="270">
        <v>-1021.61</v>
      </c>
      <c r="D160" s="183">
        <v>0</v>
      </c>
      <c r="E160" s="272">
        <v>0</v>
      </c>
      <c r="F160" s="192">
        <f t="shared" si="1"/>
        <v>-1021.61</v>
      </c>
    </row>
    <row r="161" spans="1:6">
      <c r="A161" s="191">
        <v>2026</v>
      </c>
      <c r="B161" s="182" t="s">
        <v>100</v>
      </c>
      <c r="C161" s="270">
        <v>-13919.65</v>
      </c>
      <c r="D161" s="183">
        <v>0</v>
      </c>
      <c r="E161" s="272">
        <v>0</v>
      </c>
      <c r="F161" s="192">
        <f t="shared" si="1"/>
        <v>-13919.65</v>
      </c>
    </row>
    <row r="162" spans="1:6">
      <c r="A162" s="191">
        <v>2027</v>
      </c>
      <c r="B162" s="182" t="s">
        <v>102</v>
      </c>
      <c r="C162" s="270">
        <v>13945.14</v>
      </c>
      <c r="D162" s="183">
        <v>-0.39</v>
      </c>
      <c r="E162" s="272">
        <v>-43595.86</v>
      </c>
      <c r="F162" s="192">
        <f t="shared" si="1"/>
        <v>-29651.11</v>
      </c>
    </row>
    <row r="163" spans="1:6">
      <c r="A163" s="191">
        <v>2028</v>
      </c>
      <c r="B163" s="182" t="s">
        <v>569</v>
      </c>
      <c r="C163" s="270">
        <v>-22025.27</v>
      </c>
      <c r="D163" s="183">
        <v>0</v>
      </c>
      <c r="E163" s="272">
        <v>-4657.63</v>
      </c>
      <c r="F163" s="192">
        <f t="shared" si="1"/>
        <v>-26682.9</v>
      </c>
    </row>
    <row r="164" spans="1:6">
      <c r="A164" s="191">
        <v>2029</v>
      </c>
      <c r="B164" s="182" t="s">
        <v>106</v>
      </c>
      <c r="C164" s="270">
        <v>11544.72</v>
      </c>
      <c r="D164" s="183">
        <v>0</v>
      </c>
      <c r="E164" s="272">
        <v>-38052.94</v>
      </c>
      <c r="F164" s="192">
        <f t="shared" si="1"/>
        <v>-26508.22</v>
      </c>
    </row>
    <row r="165" spans="1:6">
      <c r="A165" s="191">
        <v>2030</v>
      </c>
      <c r="B165" s="182" t="s">
        <v>108</v>
      </c>
      <c r="C165" s="270">
        <v>-55503.86</v>
      </c>
      <c r="D165" s="183">
        <v>0</v>
      </c>
      <c r="E165" s="272">
        <v>8158.7</v>
      </c>
      <c r="F165" s="192">
        <f t="shared" si="1"/>
        <v>-47345.16</v>
      </c>
    </row>
    <row r="166" spans="1:6">
      <c r="A166" s="191">
        <v>2031</v>
      </c>
      <c r="B166" s="182" t="s">
        <v>570</v>
      </c>
      <c r="C166" s="270">
        <v>-232063.9</v>
      </c>
      <c r="D166" s="183">
        <v>0</v>
      </c>
      <c r="E166" s="272">
        <v>43533.62</v>
      </c>
      <c r="F166" s="192">
        <f t="shared" si="1"/>
        <v>-188530.28</v>
      </c>
    </row>
    <row r="167" spans="1:6">
      <c r="A167" s="191">
        <v>2032</v>
      </c>
      <c r="B167" s="182" t="s">
        <v>112</v>
      </c>
      <c r="C167" s="270">
        <v>-4708.5</v>
      </c>
      <c r="D167" s="183">
        <v>0</v>
      </c>
      <c r="E167" s="272">
        <v>1484.75</v>
      </c>
      <c r="F167" s="192">
        <f t="shared" si="1"/>
        <v>-3223.75</v>
      </c>
    </row>
    <row r="168" spans="1:6">
      <c r="A168" s="191">
        <v>2034</v>
      </c>
      <c r="B168" s="182" t="s">
        <v>114</v>
      </c>
      <c r="C168" s="270">
        <v>-38091.93</v>
      </c>
      <c r="D168" s="183">
        <v>0</v>
      </c>
      <c r="E168" s="272">
        <v>10650.91</v>
      </c>
      <c r="F168" s="192">
        <f t="shared" si="1"/>
        <v>-27441.02</v>
      </c>
    </row>
    <row r="169" spans="1:6">
      <c r="A169" s="191">
        <v>2035</v>
      </c>
      <c r="B169" s="182" t="s">
        <v>116</v>
      </c>
      <c r="C169" s="270">
        <v>-112274.35</v>
      </c>
      <c r="D169" s="183">
        <v>0</v>
      </c>
      <c r="E169" s="272">
        <v>-6392.13</v>
      </c>
      <c r="F169" s="192">
        <f t="shared" si="1"/>
        <v>-118666.48000000001</v>
      </c>
    </row>
    <row r="170" spans="1:6">
      <c r="A170" s="191">
        <v>2036</v>
      </c>
      <c r="B170" s="182" t="s">
        <v>571</v>
      </c>
      <c r="C170" s="270">
        <v>-4664</v>
      </c>
      <c r="D170" s="183">
        <v>0</v>
      </c>
      <c r="E170" s="272">
        <v>-2524</v>
      </c>
      <c r="F170" s="192">
        <f t="shared" si="1"/>
        <v>-7188</v>
      </c>
    </row>
    <row r="171" spans="1:6">
      <c r="A171" s="191">
        <v>2037</v>
      </c>
      <c r="B171" s="182" t="s">
        <v>572</v>
      </c>
      <c r="C171" s="270">
        <v>-281103.53000000003</v>
      </c>
      <c r="D171" s="183">
        <v>0</v>
      </c>
      <c r="E171" s="272">
        <v>93296</v>
      </c>
      <c r="F171" s="192">
        <f t="shared" si="1"/>
        <v>-187807.53000000003</v>
      </c>
    </row>
    <row r="172" spans="1:6">
      <c r="A172" s="191">
        <v>2038</v>
      </c>
      <c r="B172" s="182" t="s">
        <v>573</v>
      </c>
      <c r="C172" s="270">
        <v>-21402.35</v>
      </c>
      <c r="D172" s="183">
        <v>0</v>
      </c>
      <c r="E172" s="272">
        <v>5633.1</v>
      </c>
      <c r="F172" s="192">
        <f t="shared" si="1"/>
        <v>-15769.249999999998</v>
      </c>
    </row>
    <row r="173" spans="1:6">
      <c r="A173" s="191">
        <v>2039</v>
      </c>
      <c r="B173" s="185" t="s">
        <v>751</v>
      </c>
      <c r="C173" s="270">
        <v>-21599.43</v>
      </c>
      <c r="D173" s="183">
        <v>0</v>
      </c>
      <c r="E173" s="272">
        <v>-9820.0300000000007</v>
      </c>
      <c r="F173" s="192">
        <f t="shared" si="1"/>
        <v>-31419.46</v>
      </c>
    </row>
    <row r="174" spans="1:6">
      <c r="A174" s="191">
        <v>2040</v>
      </c>
      <c r="B174" s="182" t="s">
        <v>528</v>
      </c>
      <c r="C174" s="270">
        <v>-541013.30000000005</v>
      </c>
      <c r="D174" s="183">
        <v>0</v>
      </c>
      <c r="E174" s="272"/>
      <c r="F174" s="192">
        <f t="shared" si="1"/>
        <v>-541013.30000000005</v>
      </c>
    </row>
    <row r="175" spans="1:6">
      <c r="A175" s="191">
        <v>2041</v>
      </c>
      <c r="B175" s="182" t="s">
        <v>126</v>
      </c>
      <c r="C175" s="270">
        <v>-96296.55</v>
      </c>
      <c r="D175" s="183">
        <v>0</v>
      </c>
      <c r="E175" s="272"/>
      <c r="F175" s="192">
        <f t="shared" si="1"/>
        <v>-96296.55</v>
      </c>
    </row>
    <row r="176" spans="1:6">
      <c r="A176" s="191">
        <v>2045</v>
      </c>
      <c r="B176" s="182" t="s">
        <v>128</v>
      </c>
      <c r="C176" s="270">
        <v>35486.9</v>
      </c>
      <c r="D176" s="183">
        <v>0</v>
      </c>
      <c r="E176" s="272">
        <v>0</v>
      </c>
      <c r="F176" s="192">
        <f t="shared" si="1"/>
        <v>35486.9</v>
      </c>
    </row>
    <row r="177" spans="1:9">
      <c r="A177" s="191"/>
      <c r="B177" s="182" t="s">
        <v>752</v>
      </c>
      <c r="C177" s="270">
        <v>94204.98</v>
      </c>
      <c r="D177" s="183">
        <v>0</v>
      </c>
      <c r="E177" s="272"/>
      <c r="F177" s="192">
        <f t="shared" si="1"/>
        <v>94204.98</v>
      </c>
    </row>
    <row r="178" spans="1:9">
      <c r="A178" s="191">
        <v>2050</v>
      </c>
      <c r="B178" s="182" t="s">
        <v>694</v>
      </c>
      <c r="C178" s="270">
        <v>101852.31</v>
      </c>
      <c r="D178" s="183">
        <v>0</v>
      </c>
      <c r="E178" s="272">
        <v>103545.97</v>
      </c>
      <c r="F178" s="192">
        <f t="shared" si="1"/>
        <v>205398.28</v>
      </c>
    </row>
    <row r="179" spans="1:9">
      <c r="A179" s="191">
        <v>2055</v>
      </c>
      <c r="B179" s="182" t="s">
        <v>574</v>
      </c>
      <c r="C179" s="270">
        <v>956124.82</v>
      </c>
      <c r="D179" s="183">
        <v>0</v>
      </c>
      <c r="E179" s="272">
        <v>-526647.74</v>
      </c>
      <c r="F179" s="192">
        <f t="shared" si="1"/>
        <v>429477.07999999996</v>
      </c>
    </row>
    <row r="180" spans="1:9">
      <c r="A180" s="191">
        <v>2070</v>
      </c>
      <c r="B180" s="182" t="s">
        <v>134</v>
      </c>
      <c r="C180" s="270">
        <v>-738786.56</v>
      </c>
      <c r="D180" s="183">
        <v>0</v>
      </c>
      <c r="E180" s="272">
        <v>-116093.22</v>
      </c>
      <c r="F180" s="192">
        <f t="shared" si="1"/>
        <v>-854879.78</v>
      </c>
    </row>
    <row r="181" spans="1:9">
      <c r="A181" s="191">
        <v>2080</v>
      </c>
      <c r="B181" s="182" t="s">
        <v>136</v>
      </c>
      <c r="C181" s="270">
        <v>-543792.30000000005</v>
      </c>
      <c r="D181" s="183">
        <v>0</v>
      </c>
      <c r="E181" s="272">
        <v>82842.19</v>
      </c>
      <c r="F181" s="192">
        <f t="shared" si="1"/>
        <v>-460950.11000000004</v>
      </c>
    </row>
    <row r="182" spans="1:9">
      <c r="A182" s="191">
        <v>2090</v>
      </c>
      <c r="B182" s="182" t="s">
        <v>695</v>
      </c>
      <c r="C182" s="270">
        <v>58025</v>
      </c>
      <c r="D182" s="183">
        <v>0</v>
      </c>
      <c r="E182" s="272">
        <v>48960.63</v>
      </c>
      <c r="F182" s="192">
        <f t="shared" si="1"/>
        <v>106985.63</v>
      </c>
    </row>
    <row r="183" spans="1:9" ht="13.8" thickBot="1">
      <c r="A183" s="193"/>
      <c r="B183" s="196" t="s">
        <v>759</v>
      </c>
      <c r="C183" s="194">
        <f>SUM(C139:C182)</f>
        <v>-1595438.4500000004</v>
      </c>
      <c r="D183" s="194">
        <f>SUM(D139:D182)</f>
        <v>-0.39</v>
      </c>
      <c r="E183" s="194">
        <f>SUM(E139:E182)</f>
        <v>-437031.93</v>
      </c>
      <c r="F183" s="195">
        <f>SUM(F139:F182)</f>
        <v>-2032470.7700000005</v>
      </c>
      <c r="H183" s="150"/>
      <c r="I183" s="292"/>
    </row>
    <row r="184" spans="1:9">
      <c r="C184" s="150"/>
      <c r="D184" s="150"/>
      <c r="E184" s="150"/>
      <c r="F184" s="150"/>
    </row>
    <row r="185" spans="1:9">
      <c r="E185" s="78"/>
    </row>
    <row r="186" spans="1:9">
      <c r="A186" s="56" t="s">
        <v>479</v>
      </c>
      <c r="B186" s="54" t="s">
        <v>482</v>
      </c>
      <c r="E186" s="78"/>
    </row>
    <row r="187" spans="1:9">
      <c r="B187" s="76" t="s">
        <v>861</v>
      </c>
      <c r="C187" s="65"/>
      <c r="D187" s="65"/>
    </row>
    <row r="189" spans="1:9">
      <c r="A189" s="56" t="s">
        <v>374</v>
      </c>
      <c r="B189" s="56" t="s">
        <v>374</v>
      </c>
    </row>
    <row r="190" spans="1:9">
      <c r="A190" s="56"/>
      <c r="B190" s="56"/>
    </row>
    <row r="191" spans="1:9">
      <c r="B191" s="146"/>
      <c r="C191" s="65"/>
      <c r="D191" s="65"/>
    </row>
    <row r="192" spans="1:9">
      <c r="B192" s="149"/>
    </row>
    <row r="193" spans="2:2">
      <c r="B193" s="149"/>
    </row>
    <row r="194" spans="2:2">
      <c r="B194" s="149"/>
    </row>
    <row r="195" spans="2:2">
      <c r="B195" s="149"/>
    </row>
    <row r="196" spans="2:2">
      <c r="B196" s="149"/>
    </row>
    <row r="197" spans="2:2">
      <c r="B197" s="149"/>
    </row>
  </sheetData>
  <mergeCells count="6">
    <mergeCell ref="F137:F138"/>
    <mergeCell ref="A137:A138"/>
    <mergeCell ref="B137:B138"/>
    <mergeCell ref="C137:C138"/>
    <mergeCell ref="D137:D138"/>
    <mergeCell ref="E137:E13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42" sqref="C142"/>
    </sheetView>
  </sheetViews>
  <sheetFormatPr baseColWidth="10" defaultColWidth="11.5546875" defaultRowHeight="13.2"/>
  <cols>
    <col min="2" max="2" width="56.33203125" bestFit="1" customWidth="1"/>
    <col min="3" max="3" width="12.33203125" style="23" bestFit="1" customWidth="1"/>
    <col min="4" max="5" width="12.33203125" bestFit="1" customWidth="1"/>
    <col min="6" max="6" width="15.5546875" style="131" bestFit="1" customWidth="1"/>
    <col min="7" max="7" width="13.44140625" style="131" bestFit="1" customWidth="1"/>
    <col min="8" max="8" width="12.33203125" bestFit="1" customWidth="1"/>
  </cols>
  <sheetData>
    <row r="1" spans="1:28" ht="21" customHeight="1">
      <c r="A1" s="208" t="s">
        <v>827</v>
      </c>
      <c r="B1" s="209"/>
      <c r="C1" s="369" t="s">
        <v>826</v>
      </c>
      <c r="D1" s="370"/>
      <c r="E1" s="371"/>
      <c r="F1" s="372" t="s">
        <v>813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I7" s="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14173</v>
      </c>
      <c r="D8" s="206"/>
      <c r="E8" s="214"/>
      <c r="F8" s="242">
        <v>19261</v>
      </c>
      <c r="G8" s="206"/>
      <c r="H8" s="214"/>
      <c r="I8" s="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68069</v>
      </c>
      <c r="D9" s="206"/>
      <c r="E9" s="214"/>
      <c r="F9" s="242">
        <v>92824</v>
      </c>
      <c r="G9" s="206"/>
      <c r="H9" s="214"/>
      <c r="I9" s="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42500</v>
      </c>
      <c r="D10" s="232"/>
      <c r="E10" s="214">
        <f>SUM(D3:D10)</f>
        <v>1332790</v>
      </c>
      <c r="F10" s="242">
        <v>57500</v>
      </c>
      <c r="G10" s="232"/>
      <c r="H10" s="214">
        <f>SUM(G3:G10)</f>
        <v>1332790</v>
      </c>
      <c r="I10" s="1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1280</v>
      </c>
      <c r="B11" s="213" t="s">
        <v>828</v>
      </c>
      <c r="C11" s="242">
        <v>55209</v>
      </c>
      <c r="D11" s="225">
        <f>SUM(C7:C11)</f>
        <v>179951</v>
      </c>
      <c r="E11" s="214"/>
      <c r="F11" s="242">
        <v>0</v>
      </c>
      <c r="G11" s="225">
        <f>SUM(F7:F11)</f>
        <v>169585</v>
      </c>
      <c r="H11" s="214"/>
      <c r="I11" s="1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1465</v>
      </c>
      <c r="B12" s="213" t="s">
        <v>18</v>
      </c>
      <c r="C12" s="241">
        <v>72707.63</v>
      </c>
      <c r="D12" s="206">
        <f>C12</f>
        <v>72707.63</v>
      </c>
      <c r="E12" s="214"/>
      <c r="F12" s="241">
        <v>65282</v>
      </c>
      <c r="G12" s="206">
        <f>F12</f>
        <v>65282</v>
      </c>
      <c r="H12" s="214"/>
      <c r="I12" s="1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ht="14.4">
      <c r="A13" s="215">
        <v>1480</v>
      </c>
      <c r="B13" s="216" t="s">
        <v>762</v>
      </c>
      <c r="C13" s="243">
        <v>0</v>
      </c>
      <c r="D13" s="206"/>
      <c r="E13" s="214"/>
      <c r="F13" s="241">
        <v>1460.98</v>
      </c>
      <c r="G13" s="206"/>
      <c r="H13" s="214"/>
      <c r="I13" s="1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1500</v>
      </c>
      <c r="B14" s="213" t="s">
        <v>552</v>
      </c>
      <c r="C14" s="243">
        <v>185484.5</v>
      </c>
      <c r="D14" s="206"/>
      <c r="E14" s="214"/>
      <c r="F14" s="243">
        <v>216935.5</v>
      </c>
      <c r="G14" s="226"/>
      <c r="H14" s="214"/>
      <c r="I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1580</v>
      </c>
      <c r="B15" s="213" t="s">
        <v>553</v>
      </c>
      <c r="C15" s="243">
        <v>-74384.5</v>
      </c>
      <c r="D15" s="227">
        <f>SUM(C13:C15)</f>
        <v>111100</v>
      </c>
      <c r="E15" s="214"/>
      <c r="F15" s="243">
        <v>-105000</v>
      </c>
      <c r="G15" s="227">
        <f>SUM(F13:F15)</f>
        <v>113396.48000000001</v>
      </c>
      <c r="H15" s="214"/>
      <c r="I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1530</v>
      </c>
      <c r="B16" s="213" t="s">
        <v>554</v>
      </c>
      <c r="C16" s="244">
        <v>42430</v>
      </c>
      <c r="D16" s="206"/>
      <c r="E16" s="214"/>
      <c r="F16" s="244">
        <v>34450</v>
      </c>
      <c r="G16" s="206"/>
      <c r="H16" s="214"/>
      <c r="I16" s="1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1571</v>
      </c>
      <c r="B17" s="213" t="s">
        <v>691</v>
      </c>
      <c r="C17" s="244">
        <v>3480.5</v>
      </c>
      <c r="D17" s="206"/>
      <c r="E17" s="214"/>
      <c r="F17" s="244">
        <v>0</v>
      </c>
      <c r="G17" s="206"/>
      <c r="H17" s="214"/>
      <c r="I17" s="1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1572</v>
      </c>
      <c r="B18" s="213" t="s">
        <v>829</v>
      </c>
      <c r="C18" s="244">
        <v>14000</v>
      </c>
      <c r="D18" s="206"/>
      <c r="E18" s="214"/>
      <c r="F18" s="244"/>
      <c r="G18" s="206"/>
      <c r="H18" s="214"/>
      <c r="I18" s="1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1700</v>
      </c>
      <c r="B19" s="213" t="s">
        <v>32</v>
      </c>
      <c r="C19" s="244">
        <v>0</v>
      </c>
      <c r="D19" s="206"/>
      <c r="E19" s="214"/>
      <c r="F19" s="244">
        <v>0</v>
      </c>
      <c r="G19" s="206"/>
      <c r="H19" s="214"/>
      <c r="I19" s="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1720</v>
      </c>
      <c r="B20" s="213" t="s">
        <v>692</v>
      </c>
      <c r="C20" s="244">
        <v>0</v>
      </c>
      <c r="D20" s="206"/>
      <c r="E20" s="214"/>
      <c r="F20" s="244">
        <v>0</v>
      </c>
      <c r="G20" s="206"/>
      <c r="H20" s="214"/>
      <c r="I20" s="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1749</v>
      </c>
      <c r="B21" s="213" t="s">
        <v>556</v>
      </c>
      <c r="C21" s="244">
        <v>81921</v>
      </c>
      <c r="D21" s="228">
        <f>SUM(C16:C21)</f>
        <v>141831.5</v>
      </c>
      <c r="E21" s="214"/>
      <c r="F21" s="244">
        <v>156477</v>
      </c>
      <c r="G21" s="228">
        <f>SUM(F16:F21)</f>
        <v>190927</v>
      </c>
      <c r="H21" s="214"/>
      <c r="I21" s="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1910</v>
      </c>
      <c r="B22" s="213" t="s">
        <v>36</v>
      </c>
      <c r="C22" s="241">
        <v>11992</v>
      </c>
      <c r="D22" s="206"/>
      <c r="E22" s="214"/>
      <c r="F22" s="241">
        <v>9890</v>
      </c>
      <c r="G22" s="206"/>
      <c r="H22" s="214"/>
      <c r="I22" s="1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1920</v>
      </c>
      <c r="B23" s="213" t="s">
        <v>557</v>
      </c>
      <c r="C23" s="241">
        <v>1291689</v>
      </c>
      <c r="D23" s="206"/>
      <c r="E23" s="214"/>
      <c r="F23" s="241">
        <v>603953.19999999995</v>
      </c>
      <c r="G23" s="206"/>
      <c r="H23" s="214"/>
      <c r="I23" s="1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1921</v>
      </c>
      <c r="B24" s="213" t="s">
        <v>693</v>
      </c>
      <c r="C24" s="241">
        <v>4043.86</v>
      </c>
      <c r="D24" s="206"/>
      <c r="E24" s="214"/>
      <c r="F24" s="241">
        <v>4039.85</v>
      </c>
      <c r="G24" s="206"/>
      <c r="H24" s="214"/>
      <c r="I24" s="1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1523</v>
      </c>
      <c r="B25" s="213" t="s">
        <v>830</v>
      </c>
      <c r="C25" s="241">
        <v>496320.64</v>
      </c>
      <c r="D25" s="206"/>
      <c r="E25" s="214"/>
      <c r="F25" s="241">
        <v>0</v>
      </c>
      <c r="G25" s="206"/>
      <c r="H25" s="214"/>
      <c r="I25" s="1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4.4">
      <c r="A26" s="215">
        <v>1922</v>
      </c>
      <c r="B26" s="216" t="s">
        <v>763</v>
      </c>
      <c r="C26" s="241">
        <v>4505.82</v>
      </c>
      <c r="D26" s="206"/>
      <c r="E26" s="214"/>
      <c r="F26" s="241">
        <v>4500</v>
      </c>
      <c r="G26" s="206"/>
      <c r="H26" s="214"/>
      <c r="I26" s="1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1930</v>
      </c>
      <c r="B27" s="213" t="s">
        <v>558</v>
      </c>
      <c r="C27" s="241">
        <v>0</v>
      </c>
      <c r="D27" s="206"/>
      <c r="E27" s="214"/>
      <c r="F27" s="241">
        <v>315168.07</v>
      </c>
      <c r="G27" s="206"/>
      <c r="H27" s="214"/>
      <c r="I27" s="1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1931</v>
      </c>
      <c r="B28" s="213" t="s">
        <v>559</v>
      </c>
      <c r="C28" s="241">
        <v>0</v>
      </c>
      <c r="D28" s="206"/>
      <c r="E28" s="214"/>
      <c r="F28" s="241">
        <v>15431.96</v>
      </c>
      <c r="G28" s="206"/>
      <c r="H28" s="214"/>
      <c r="I28" s="1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1932</v>
      </c>
      <c r="B29" s="213" t="s">
        <v>831</v>
      </c>
      <c r="C29" s="241">
        <v>217773.5</v>
      </c>
      <c r="D29" s="206"/>
      <c r="E29" s="214"/>
      <c r="F29" s="241">
        <v>0</v>
      </c>
      <c r="G29" s="206"/>
      <c r="H29" s="214"/>
      <c r="I29" s="1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1936</v>
      </c>
      <c r="B30" s="213" t="s">
        <v>560</v>
      </c>
      <c r="C30" s="241">
        <v>57.6</v>
      </c>
      <c r="D30" s="206"/>
      <c r="E30" s="214"/>
      <c r="F30" s="241">
        <v>45767.31</v>
      </c>
      <c r="G30" s="206"/>
      <c r="H30" s="214"/>
      <c r="I30" s="1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1938</v>
      </c>
      <c r="B31" s="213" t="s">
        <v>44</v>
      </c>
      <c r="C31" s="241">
        <v>0</v>
      </c>
      <c r="D31" s="206"/>
      <c r="E31" s="214"/>
      <c r="F31" s="241">
        <v>3768.91</v>
      </c>
      <c r="G31" s="206"/>
      <c r="H31" s="214"/>
      <c r="I31" s="1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1940</v>
      </c>
      <c r="B32" s="213" t="s">
        <v>561</v>
      </c>
      <c r="C32" s="241">
        <v>0</v>
      </c>
      <c r="D32" s="206"/>
      <c r="E32" s="214"/>
      <c r="F32" s="241">
        <v>297.11</v>
      </c>
      <c r="G32" s="206"/>
      <c r="H32" s="214"/>
      <c r="I32" s="1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1945</v>
      </c>
      <c r="B33" s="213" t="s">
        <v>48</v>
      </c>
      <c r="C33" s="241">
        <v>0</v>
      </c>
      <c r="D33" s="206"/>
      <c r="E33" s="214"/>
      <c r="F33" s="241">
        <v>6255.29</v>
      </c>
      <c r="G33" s="206"/>
      <c r="H33" s="214"/>
      <c r="I33" s="1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1946</v>
      </c>
      <c r="B34" s="213" t="s">
        <v>50</v>
      </c>
      <c r="C34" s="241">
        <v>0</v>
      </c>
      <c r="D34" s="206"/>
      <c r="E34" s="214"/>
      <c r="F34" s="241">
        <v>384311.73</v>
      </c>
      <c r="G34" s="206"/>
      <c r="H34" s="214"/>
      <c r="I34" s="1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1950</v>
      </c>
      <c r="B35" s="213" t="s">
        <v>562</v>
      </c>
      <c r="C35" s="241">
        <v>22029.18</v>
      </c>
      <c r="D35" s="206"/>
      <c r="E35" s="214"/>
      <c r="F35" s="241">
        <v>15862</v>
      </c>
      <c r="G35" s="206"/>
      <c r="H35" s="214"/>
      <c r="I35" s="1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1952</v>
      </c>
      <c r="B36" s="213" t="s">
        <v>563</v>
      </c>
      <c r="C36" s="241">
        <v>0</v>
      </c>
      <c r="D36" s="206"/>
      <c r="E36" s="214"/>
      <c r="F36" s="241">
        <v>217656.32000000001</v>
      </c>
      <c r="G36" s="206"/>
      <c r="H36" s="214"/>
      <c r="I36" s="1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1962</v>
      </c>
      <c r="B37" s="213" t="s">
        <v>564</v>
      </c>
      <c r="C37" s="260">
        <v>0</v>
      </c>
      <c r="D37" s="207">
        <f>SUM(C22:C37)</f>
        <v>2048411.6</v>
      </c>
      <c r="E37" s="259">
        <f>SUM(D12:D37)</f>
        <v>2374050.73</v>
      </c>
      <c r="F37" s="260">
        <v>110544.52</v>
      </c>
      <c r="G37" s="207">
        <f>SUM(F22:F37)</f>
        <v>1737446.27</v>
      </c>
      <c r="H37" s="259">
        <f>SUM(G12:G37)</f>
        <v>2107051.75</v>
      </c>
      <c r="I37" s="1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/>
      <c r="B38" s="218" t="s">
        <v>819</v>
      </c>
      <c r="C38" s="241">
        <f>SUM(C3:C37)</f>
        <v>3886791.73</v>
      </c>
      <c r="D38" s="206"/>
      <c r="E38" s="214">
        <f>SUM(E10:E37)</f>
        <v>3706840.73</v>
      </c>
      <c r="F38" s="241">
        <f>SUM(F3:F37)</f>
        <v>3609426.7499999995</v>
      </c>
      <c r="G38" s="206"/>
      <c r="H38" s="214">
        <f>SUM(H37,H10)</f>
        <v>3439841.75</v>
      </c>
      <c r="I38" s="1"/>
      <c r="L38" s="27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/>
      <c r="B39" s="213"/>
      <c r="C39" s="241" t="s">
        <v>374</v>
      </c>
      <c r="D39" s="206"/>
      <c r="E39" s="214"/>
      <c r="F39" s="241"/>
      <c r="G39" s="206"/>
      <c r="H39" s="214"/>
      <c r="I39" s="1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2001</v>
      </c>
      <c r="B40" s="213" t="s">
        <v>566</v>
      </c>
      <c r="C40" s="291">
        <v>-22875.1</v>
      </c>
      <c r="D40" s="206"/>
      <c r="E40" s="214"/>
      <c r="F40" s="241">
        <v>-25011.1</v>
      </c>
      <c r="G40" s="206"/>
      <c r="H40" s="214"/>
      <c r="I40" s="1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2002</v>
      </c>
      <c r="B41" s="213" t="s">
        <v>58</v>
      </c>
      <c r="C41" s="291">
        <v>18545.86</v>
      </c>
      <c r="D41" s="206"/>
      <c r="E41" s="214"/>
      <c r="F41" s="241">
        <v>21952.36</v>
      </c>
      <c r="G41" s="206"/>
      <c r="H41" s="214"/>
      <c r="I41" s="1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2003</v>
      </c>
      <c r="B42" s="213" t="s">
        <v>60</v>
      </c>
      <c r="C42" s="291">
        <v>-64249.71</v>
      </c>
      <c r="D42" s="206"/>
      <c r="E42" s="214"/>
      <c r="F42" s="241">
        <v>-10064.82</v>
      </c>
      <c r="G42" s="206"/>
      <c r="H42" s="214"/>
      <c r="I42" s="1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2004</v>
      </c>
      <c r="B43" s="213" t="s">
        <v>62</v>
      </c>
      <c r="C43" s="291">
        <v>-58899.99</v>
      </c>
      <c r="D43" s="206"/>
      <c r="E43" s="214"/>
      <c r="F43" s="241">
        <v>-38705.99</v>
      </c>
      <c r="G43" s="206"/>
      <c r="H43" s="214"/>
      <c r="I43" s="1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2005</v>
      </c>
      <c r="B44" s="213" t="s">
        <v>64</v>
      </c>
      <c r="C44" s="291">
        <v>13449.71</v>
      </c>
      <c r="D44" s="206"/>
      <c r="E44" s="214"/>
      <c r="F44" s="241">
        <v>13797.27</v>
      </c>
      <c r="G44" s="206"/>
      <c r="H44" s="214"/>
      <c r="I44" s="1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2006</v>
      </c>
      <c r="B45" s="213" t="s">
        <v>66</v>
      </c>
      <c r="C45" s="291">
        <v>-35713.620000000003</v>
      </c>
      <c r="D45" s="206"/>
      <c r="E45" s="214"/>
      <c r="F45" s="241">
        <v>-21674.89</v>
      </c>
      <c r="G45" s="206"/>
      <c r="H45" s="214"/>
      <c r="I45" s="1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2007</v>
      </c>
      <c r="B46" s="213" t="s">
        <v>68</v>
      </c>
      <c r="C46" s="291">
        <v>-38666.93</v>
      </c>
      <c r="D46" s="206"/>
      <c r="E46" s="214"/>
      <c r="F46" s="241">
        <v>-42281.9</v>
      </c>
      <c r="G46" s="206"/>
      <c r="H46" s="214"/>
      <c r="I46" s="1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2008</v>
      </c>
      <c r="B47" s="213" t="s">
        <v>70</v>
      </c>
      <c r="C47" s="291">
        <v>36498.620000000003</v>
      </c>
      <c r="D47" s="206"/>
      <c r="E47" s="214"/>
      <c r="F47" s="241">
        <v>36736.949999999997</v>
      </c>
      <c r="G47" s="206"/>
      <c r="H47" s="214"/>
      <c r="I47" s="1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2009</v>
      </c>
      <c r="B48" s="213" t="s">
        <v>567</v>
      </c>
      <c r="C48" s="291">
        <v>-6447.45</v>
      </c>
      <c r="D48" s="206"/>
      <c r="E48" s="214"/>
      <c r="F48" s="241">
        <v>-66490.600000000006</v>
      </c>
      <c r="G48" s="206"/>
      <c r="H48" s="214"/>
      <c r="I48" s="1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2010</v>
      </c>
      <c r="B49" s="213" t="s">
        <v>74</v>
      </c>
      <c r="C49" s="291">
        <v>-3210.06</v>
      </c>
      <c r="D49" s="206"/>
      <c r="E49" s="214"/>
      <c r="F49" s="241">
        <v>44185.4</v>
      </c>
      <c r="G49" s="206"/>
      <c r="H49" s="214"/>
      <c r="I49" s="1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2011</v>
      </c>
      <c r="B50" s="213" t="s">
        <v>76</v>
      </c>
      <c r="C50" s="291">
        <v>-4617.1400000000003</v>
      </c>
      <c r="D50" s="206"/>
      <c r="E50" s="214"/>
      <c r="F50" s="241">
        <v>-5165.8999999999996</v>
      </c>
      <c r="G50" s="206"/>
      <c r="H50" s="214"/>
      <c r="I50" s="1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2012</v>
      </c>
      <c r="B51" s="213" t="s">
        <v>78</v>
      </c>
      <c r="C51" s="291">
        <v>15698.9</v>
      </c>
      <c r="D51" s="206"/>
      <c r="E51" s="214"/>
      <c r="F51" s="241">
        <v>22156</v>
      </c>
      <c r="G51" s="206"/>
      <c r="H51" s="214"/>
      <c r="I51" s="1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2013</v>
      </c>
      <c r="B52" s="213" t="s">
        <v>80</v>
      </c>
      <c r="C52" s="291">
        <v>103498.6</v>
      </c>
      <c r="D52" s="206"/>
      <c r="E52" s="214"/>
      <c r="F52" s="241">
        <v>100948.76</v>
      </c>
      <c r="G52" s="206"/>
      <c r="H52" s="214"/>
      <c r="I52" s="1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2014</v>
      </c>
      <c r="B53" s="213" t="s">
        <v>82</v>
      </c>
      <c r="C53" s="291">
        <v>-16098.65</v>
      </c>
      <c r="D53" s="206"/>
      <c r="E53" s="214"/>
      <c r="F53" s="241">
        <v>-13498.65</v>
      </c>
      <c r="G53" s="206"/>
      <c r="H53" s="214"/>
      <c r="I53" s="1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2015</v>
      </c>
      <c r="B54" s="213" t="s">
        <v>84</v>
      </c>
      <c r="C54" s="291">
        <v>7945.03</v>
      </c>
      <c r="D54" s="206"/>
      <c r="E54" s="214"/>
      <c r="F54" s="241">
        <v>10880.34</v>
      </c>
      <c r="G54" s="206"/>
      <c r="H54" s="214"/>
      <c r="I54" s="1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2016</v>
      </c>
      <c r="B55" s="213" t="s">
        <v>86</v>
      </c>
      <c r="C55" s="291">
        <v>-40916.379999999997</v>
      </c>
      <c r="D55" s="206"/>
      <c r="E55" s="214"/>
      <c r="F55" s="241">
        <v>-17422.509999999998</v>
      </c>
      <c r="G55" s="206"/>
      <c r="H55" s="214"/>
      <c r="I55" s="1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2017</v>
      </c>
      <c r="B56" s="213" t="s">
        <v>88</v>
      </c>
      <c r="C56" s="291">
        <v>29867.14</v>
      </c>
      <c r="D56" s="206"/>
      <c r="E56" s="214"/>
      <c r="F56" s="241">
        <v>55148.94</v>
      </c>
      <c r="G56" s="206"/>
      <c r="H56" s="214"/>
      <c r="I56" s="1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2018</v>
      </c>
      <c r="B57" s="213" t="s">
        <v>90</v>
      </c>
      <c r="C57" s="291">
        <v>-25622.95</v>
      </c>
      <c r="D57" s="206"/>
      <c r="E57" s="214"/>
      <c r="F57" s="241">
        <v>-2008</v>
      </c>
      <c r="G57" s="206"/>
      <c r="H57" s="214"/>
      <c r="I57" s="1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2019</v>
      </c>
      <c r="B58" s="213" t="s">
        <v>568</v>
      </c>
      <c r="C58" s="291">
        <v>10529.92</v>
      </c>
      <c r="D58" s="206"/>
      <c r="E58" s="214"/>
      <c r="F58" s="241">
        <v>22415.919999999998</v>
      </c>
      <c r="G58" s="206"/>
      <c r="H58" s="214"/>
      <c r="I58" s="1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2020</v>
      </c>
      <c r="B59" s="213" t="s">
        <v>94</v>
      </c>
      <c r="C59" s="291">
        <v>-5110.0600000000004</v>
      </c>
      <c r="D59" s="206"/>
      <c r="E59" s="214"/>
      <c r="F59" s="241">
        <v>-19746.060000000001</v>
      </c>
      <c r="G59" s="206"/>
      <c r="H59" s="214"/>
      <c r="I59" s="1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2024</v>
      </c>
      <c r="B60" s="213" t="s">
        <v>96</v>
      </c>
      <c r="C60" s="291">
        <v>-51960.97</v>
      </c>
      <c r="D60" s="206"/>
      <c r="E60" s="214"/>
      <c r="F60" s="241">
        <v>-117637.53</v>
      </c>
      <c r="G60" s="206"/>
      <c r="H60" s="214"/>
      <c r="I60" s="1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2025</v>
      </c>
      <c r="B61" s="213" t="s">
        <v>98</v>
      </c>
      <c r="C61" s="291">
        <v>-1021.61</v>
      </c>
      <c r="D61" s="206"/>
      <c r="E61" s="214"/>
      <c r="F61" s="241">
        <v>-1021.61</v>
      </c>
      <c r="G61" s="206"/>
      <c r="H61" s="214"/>
      <c r="I61" s="1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2026</v>
      </c>
      <c r="B62" s="213" t="s">
        <v>100</v>
      </c>
      <c r="C62" s="291">
        <v>-13919.65</v>
      </c>
      <c r="D62" s="206"/>
      <c r="E62" s="214"/>
      <c r="F62" s="241">
        <v>-13919.65</v>
      </c>
      <c r="G62" s="206"/>
      <c r="H62" s="214"/>
      <c r="I62" s="1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2027</v>
      </c>
      <c r="B63" s="213" t="s">
        <v>102</v>
      </c>
      <c r="C63" s="291">
        <v>13945.14</v>
      </c>
      <c r="D63" s="206"/>
      <c r="E63" s="214"/>
      <c r="F63" s="241">
        <v>-5004</v>
      </c>
      <c r="G63" s="206"/>
      <c r="H63" s="214"/>
      <c r="I63" s="1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2028</v>
      </c>
      <c r="B64" s="213" t="s">
        <v>569</v>
      </c>
      <c r="C64" s="291">
        <v>-22025.27</v>
      </c>
      <c r="D64" s="206"/>
      <c r="E64" s="214"/>
      <c r="F64" s="241">
        <v>-29902.03</v>
      </c>
      <c r="G64" s="206"/>
      <c r="H64" s="214"/>
      <c r="I64" s="1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2029</v>
      </c>
      <c r="B65" s="213" t="s">
        <v>106</v>
      </c>
      <c r="C65" s="291">
        <v>11544.72</v>
      </c>
      <c r="D65" s="206"/>
      <c r="E65" s="214"/>
      <c r="F65" s="241">
        <v>1160.43</v>
      </c>
      <c r="G65" s="206"/>
      <c r="H65" s="214"/>
      <c r="I65" s="1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2030</v>
      </c>
      <c r="B66" s="213" t="s">
        <v>108</v>
      </c>
      <c r="C66" s="291">
        <v>-55503.86</v>
      </c>
      <c r="D66" s="206"/>
      <c r="E66" s="214"/>
      <c r="F66" s="241">
        <v>-42303.86</v>
      </c>
      <c r="G66" s="206"/>
      <c r="H66" s="214"/>
      <c r="I66" s="1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2031</v>
      </c>
      <c r="B67" s="213" t="s">
        <v>570</v>
      </c>
      <c r="C67" s="241">
        <v>-232063.9</v>
      </c>
      <c r="D67" s="206"/>
      <c r="E67" s="214"/>
      <c r="F67" s="241">
        <v>-147525.57999999999</v>
      </c>
      <c r="G67" s="206"/>
      <c r="H67" s="214"/>
      <c r="I67" s="1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2032</v>
      </c>
      <c r="B68" s="213" t="s">
        <v>112</v>
      </c>
      <c r="C68" s="241">
        <v>-4708.5</v>
      </c>
      <c r="D68" s="206"/>
      <c r="E68" s="214"/>
      <c r="F68" s="241">
        <v>-5748.48</v>
      </c>
      <c r="G68" s="206"/>
      <c r="H68" s="214"/>
      <c r="I68" s="1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2034</v>
      </c>
      <c r="B69" s="213" t="s">
        <v>114</v>
      </c>
      <c r="C69" s="241">
        <v>-38091.93</v>
      </c>
      <c r="D69" s="206"/>
      <c r="E69" s="214"/>
      <c r="F69" s="241">
        <v>-40442.97</v>
      </c>
      <c r="G69" s="206"/>
      <c r="H69" s="214"/>
      <c r="I69" s="1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2035</v>
      </c>
      <c r="B70" s="213" t="s">
        <v>116</v>
      </c>
      <c r="C70" s="241">
        <v>-112274.35</v>
      </c>
      <c r="D70" s="206"/>
      <c r="E70" s="214"/>
      <c r="F70" s="241">
        <v>-117666.91</v>
      </c>
      <c r="G70" s="206"/>
      <c r="H70" s="214"/>
      <c r="I70" s="1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2036</v>
      </c>
      <c r="B71" s="213" t="s">
        <v>571</v>
      </c>
      <c r="C71" s="241">
        <v>-4664</v>
      </c>
      <c r="D71" s="206"/>
      <c r="E71" s="214"/>
      <c r="F71" s="241">
        <v>10630</v>
      </c>
      <c r="G71" s="206"/>
      <c r="H71" s="214"/>
      <c r="I71" s="1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2037</v>
      </c>
      <c r="B72" s="213" t="s">
        <v>572</v>
      </c>
      <c r="C72" s="241">
        <v>-281103.53000000003</v>
      </c>
      <c r="D72" s="206"/>
      <c r="E72" s="214"/>
      <c r="F72" s="241">
        <v>-173315.25</v>
      </c>
      <c r="G72" s="206"/>
      <c r="H72" s="214"/>
      <c r="I72" s="1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2038</v>
      </c>
      <c r="B73" s="213" t="s">
        <v>573</v>
      </c>
      <c r="C73" s="241">
        <v>-21402.35</v>
      </c>
      <c r="D73" s="206"/>
      <c r="E73" s="214"/>
      <c r="F73" s="241">
        <v>-20140.349999999999</v>
      </c>
      <c r="G73" s="206"/>
      <c r="H73" s="214"/>
      <c r="I73" s="1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4.4">
      <c r="A74" s="215">
        <v>2039</v>
      </c>
      <c r="B74" s="216" t="s">
        <v>764</v>
      </c>
      <c r="C74" s="241">
        <v>-21599.43</v>
      </c>
      <c r="D74" s="206"/>
      <c r="E74" s="214"/>
      <c r="F74" s="241">
        <v>-6175</v>
      </c>
      <c r="G74" s="206"/>
      <c r="H74" s="214"/>
      <c r="I74" s="1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2040</v>
      </c>
      <c r="B75" s="213" t="s">
        <v>528</v>
      </c>
      <c r="C75" s="241">
        <v>-541013.30000000005</v>
      </c>
      <c r="D75" s="206"/>
      <c r="E75" s="214"/>
      <c r="F75" s="241">
        <v>-541013.30000000005</v>
      </c>
      <c r="G75" s="206"/>
      <c r="H75" s="214"/>
      <c r="I75" s="1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2041</v>
      </c>
      <c r="B76" s="213" t="s">
        <v>126</v>
      </c>
      <c r="C76" s="241">
        <v>-96296.55</v>
      </c>
      <c r="D76" s="206">
        <f>SUM(C75:C76)</f>
        <v>-637309.85000000009</v>
      </c>
      <c r="E76" s="214"/>
      <c r="F76" s="241">
        <v>-96296.55</v>
      </c>
      <c r="G76" s="206">
        <f>SUM(F75:F76)</f>
        <v>-637309.85000000009</v>
      </c>
      <c r="H76" s="217"/>
      <c r="I76" s="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2045</v>
      </c>
      <c r="B77" s="213" t="s">
        <v>128</v>
      </c>
      <c r="C77" s="241">
        <v>35485.9</v>
      </c>
      <c r="D77" s="206"/>
      <c r="E77" s="214"/>
      <c r="F77" s="241">
        <v>34621.58</v>
      </c>
      <c r="G77" s="206"/>
      <c r="H77" s="214"/>
      <c r="I77" s="1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4.4">
      <c r="A78" s="215">
        <v>2046</v>
      </c>
      <c r="B78" s="216" t="s">
        <v>765</v>
      </c>
      <c r="C78" s="241">
        <v>94204.98</v>
      </c>
      <c r="D78" s="206"/>
      <c r="E78" s="214"/>
      <c r="F78" s="241">
        <v>-11626</v>
      </c>
      <c r="G78" s="206"/>
      <c r="H78" s="214"/>
      <c r="I78" s="1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2050</v>
      </c>
      <c r="B79" s="213" t="s">
        <v>694</v>
      </c>
      <c r="C79" s="241">
        <v>101852.31</v>
      </c>
      <c r="D79" s="206"/>
      <c r="E79" s="214"/>
      <c r="F79" s="241">
        <v>62509.37</v>
      </c>
      <c r="G79" s="206"/>
      <c r="H79" s="214"/>
      <c r="I79" s="1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2055</v>
      </c>
      <c r="B80" s="213" t="s">
        <v>574</v>
      </c>
      <c r="C80" s="241">
        <v>956124.82</v>
      </c>
      <c r="D80" s="206"/>
      <c r="E80" s="214"/>
      <c r="F80" s="241">
        <v>1200327.42</v>
      </c>
      <c r="G80" s="206"/>
      <c r="H80" s="214"/>
      <c r="I80" s="1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2070</v>
      </c>
      <c r="B81" s="213" t="s">
        <v>134</v>
      </c>
      <c r="C81" s="241">
        <v>-738786.56</v>
      </c>
      <c r="D81" s="206"/>
      <c r="E81" s="214"/>
      <c r="F81" s="241">
        <v>-687525.06</v>
      </c>
      <c r="G81" s="206"/>
      <c r="H81" s="214"/>
      <c r="I81" s="1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2080</v>
      </c>
      <c r="B82" s="213" t="s">
        <v>136</v>
      </c>
      <c r="C82" s="241">
        <v>-543792.30000000005</v>
      </c>
      <c r="D82" s="206"/>
      <c r="E82" s="214"/>
      <c r="F82" s="241">
        <v>-669456.81999999995</v>
      </c>
      <c r="G82" s="229"/>
      <c r="H82" s="214"/>
      <c r="I82" s="1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2090</v>
      </c>
      <c r="B83" s="213" t="s">
        <v>695</v>
      </c>
      <c r="C83" s="241">
        <v>58025</v>
      </c>
      <c r="D83" s="261"/>
      <c r="E83" s="217"/>
      <c r="F83" s="241">
        <v>77273</v>
      </c>
      <c r="G83" s="239"/>
      <c r="H83" s="217"/>
      <c r="I83" s="1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/>
      <c r="B84" s="213" t="s">
        <v>575</v>
      </c>
      <c r="C84" s="241">
        <f>'Årsregnskap 2017'!C29*-1</f>
        <v>-437031.91000000021</v>
      </c>
      <c r="D84" s="206">
        <f>SUM(C40:C74)+C77+C78+C79+C80+C81+C82+C83+C84</f>
        <v>-1395161.5100000005</v>
      </c>
      <c r="E84" s="214">
        <f>SUM(D76:D84)</f>
        <v>-2032471.3600000006</v>
      </c>
      <c r="F84" s="285">
        <f>'Årsregnskap 2017'!D29*-1</f>
        <v>-321391.81999999954</v>
      </c>
      <c r="G84" s="206">
        <f>SUM(F40:F74)+F77+F78+F79+F80+F81+F82+F83+F84</f>
        <v>-958129.59999999963</v>
      </c>
      <c r="H84" s="214">
        <f>G76+G84</f>
        <v>-1595439.4499999997</v>
      </c>
      <c r="I84" s="1"/>
      <c r="J84" s="1"/>
      <c r="K84" s="1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2192</v>
      </c>
      <c r="B85" s="213" t="s">
        <v>138</v>
      </c>
      <c r="C85" s="246">
        <v>0</v>
      </c>
      <c r="D85" s="206"/>
      <c r="E85" s="214"/>
      <c r="F85" s="246">
        <v>-7800</v>
      </c>
      <c r="G85" s="206"/>
      <c r="H85" s="214"/>
      <c r="I85" s="1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2240</v>
      </c>
      <c r="B86" s="213" t="s">
        <v>140</v>
      </c>
      <c r="C86" s="243">
        <v>-1000000</v>
      </c>
      <c r="D86" s="206"/>
      <c r="E86" s="214"/>
      <c r="F86" s="243">
        <v>-1000000</v>
      </c>
      <c r="G86" s="206"/>
      <c r="H86" s="214"/>
      <c r="I86" s="1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2241</v>
      </c>
      <c r="B87" s="213" t="s">
        <v>142</v>
      </c>
      <c r="C87" s="243">
        <v>-277790</v>
      </c>
      <c r="D87" s="227">
        <f>SUM(C86:C87)+C90</f>
        <v>-1312790</v>
      </c>
      <c r="E87" s="214"/>
      <c r="F87" s="243">
        <v>-277790</v>
      </c>
      <c r="G87" s="227">
        <f>SUM(F86:F87)+F90</f>
        <v>-1312790</v>
      </c>
      <c r="H87" s="214"/>
      <c r="I87" s="1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2400</v>
      </c>
      <c r="B88" s="213" t="s">
        <v>578</v>
      </c>
      <c r="C88" s="241">
        <v>-449203.53</v>
      </c>
      <c r="D88" s="206">
        <f>C88</f>
        <v>-449203.53</v>
      </c>
      <c r="E88" s="214"/>
      <c r="F88" s="241">
        <v>-562768.36</v>
      </c>
      <c r="G88" s="206">
        <f>F88</f>
        <v>-562768.36</v>
      </c>
      <c r="H88" s="214"/>
      <c r="I88" s="1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2442</v>
      </c>
      <c r="B89" s="213" t="s">
        <v>576</v>
      </c>
      <c r="C89" s="244">
        <v>-10000</v>
      </c>
      <c r="D89" s="206"/>
      <c r="E89" s="214"/>
      <c r="F89" s="244">
        <v>-10000</v>
      </c>
      <c r="G89" s="206"/>
      <c r="H89" s="214"/>
      <c r="I89" s="1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2443</v>
      </c>
      <c r="B90" s="213" t="s">
        <v>150</v>
      </c>
      <c r="C90" s="243">
        <v>-35000</v>
      </c>
      <c r="D90" s="206"/>
      <c r="E90" s="214"/>
      <c r="F90" s="243">
        <v>-35000</v>
      </c>
      <c r="G90" s="206"/>
      <c r="H90" s="214"/>
      <c r="I90" s="1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2444</v>
      </c>
      <c r="B91" s="213" t="s">
        <v>577</v>
      </c>
      <c r="C91" s="244">
        <v>-10000</v>
      </c>
      <c r="D91" s="228">
        <f>C89+C91</f>
        <v>-20000</v>
      </c>
      <c r="E91" s="214"/>
      <c r="F91" s="244">
        <v>-10000</v>
      </c>
      <c r="G91" s="228">
        <f>F89+F91</f>
        <v>-20000</v>
      </c>
      <c r="H91" s="214"/>
      <c r="I91" s="1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2600</v>
      </c>
      <c r="B92" s="213" t="s">
        <v>579</v>
      </c>
      <c r="C92" s="242">
        <v>-21452</v>
      </c>
      <c r="D92" s="206"/>
      <c r="E92" s="214"/>
      <c r="F92" s="242">
        <v>-15862</v>
      </c>
      <c r="G92" s="206"/>
      <c r="H92" s="214"/>
      <c r="I92" s="1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2770</v>
      </c>
      <c r="B93" s="213" t="s">
        <v>160</v>
      </c>
      <c r="C93" s="242">
        <v>-28625.34</v>
      </c>
      <c r="D93" s="225">
        <f>SUM(C92:C93)</f>
        <v>-50077.34</v>
      </c>
      <c r="E93" s="214"/>
      <c r="F93" s="242">
        <v>-15147.06</v>
      </c>
      <c r="G93" s="225">
        <f>SUM(F92:F93)</f>
        <v>-31009.059999999998</v>
      </c>
      <c r="H93" s="214"/>
      <c r="I93" s="1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2780</v>
      </c>
      <c r="B94" s="213" t="s">
        <v>582</v>
      </c>
      <c r="C94" s="246">
        <v>-2749.5</v>
      </c>
      <c r="D94" s="206"/>
      <c r="E94" s="214"/>
      <c r="F94" s="246">
        <v>-6131.77</v>
      </c>
      <c r="G94" s="206"/>
      <c r="H94" s="214"/>
      <c r="I94" s="1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2900</v>
      </c>
      <c r="B95" s="213" t="s">
        <v>164</v>
      </c>
      <c r="C95" s="246">
        <v>0</v>
      </c>
      <c r="D95" s="206"/>
      <c r="E95" s="214"/>
      <c r="F95" s="246">
        <v>0</v>
      </c>
      <c r="G95" s="206"/>
      <c r="H95" s="214"/>
      <c r="I95" s="1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2930</v>
      </c>
      <c r="B96" s="213" t="s">
        <v>583</v>
      </c>
      <c r="C96" s="246">
        <v>0</v>
      </c>
      <c r="D96" s="206"/>
      <c r="E96" s="214"/>
      <c r="F96" s="246">
        <v>0</v>
      </c>
      <c r="G96" s="206"/>
      <c r="H96" s="214"/>
      <c r="I96" s="1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2940</v>
      </c>
      <c r="B97" s="213" t="s">
        <v>168</v>
      </c>
      <c r="C97" s="246">
        <v>-19500</v>
      </c>
      <c r="D97" s="206"/>
      <c r="E97" s="214"/>
      <c r="F97" s="246">
        <v>-43488.11</v>
      </c>
      <c r="G97" s="206"/>
      <c r="H97" s="214"/>
      <c r="I97" s="1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2960</v>
      </c>
      <c r="B98" s="213" t="s">
        <v>584</v>
      </c>
      <c r="C98" s="246">
        <v>0</v>
      </c>
      <c r="D98" s="206"/>
      <c r="E98" s="214"/>
      <c r="F98" s="246">
        <v>0</v>
      </c>
      <c r="G98" s="226"/>
      <c r="H98" s="217"/>
      <c r="I98" s="1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14.4">
      <c r="A99" s="215">
        <v>2990</v>
      </c>
      <c r="B99" s="216" t="s">
        <v>146</v>
      </c>
      <c r="C99" s="257">
        <v>0</v>
      </c>
      <c r="D99" s="258">
        <f>SUM(C94:C99)+C85</f>
        <v>-22249.5</v>
      </c>
      <c r="E99" s="259">
        <f>SUM(D87:D99)</f>
        <v>-1854320.37</v>
      </c>
      <c r="F99" s="257">
        <v>-30000</v>
      </c>
      <c r="G99" s="258">
        <f>SUM(F94:F99)+F85</f>
        <v>-87419.88</v>
      </c>
      <c r="H99" s="259">
        <f>SUM(G87:G99)</f>
        <v>-2013987.2999999998</v>
      </c>
      <c r="I99" s="1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/>
      <c r="B100" s="218" t="s">
        <v>820</v>
      </c>
      <c r="C100" s="241">
        <f>SUM(C40:C99)</f>
        <v>-3886791.7300000004</v>
      </c>
      <c r="D100" s="206"/>
      <c r="E100" s="214">
        <f>E84+E99</f>
        <v>-3886791.7300000004</v>
      </c>
      <c r="F100" s="241">
        <f>SUM(F40:F99)</f>
        <v>-3609426.7499999991</v>
      </c>
      <c r="G100" s="206"/>
      <c r="H100" s="214">
        <f>H84+H99</f>
        <v>-3609426.7499999995</v>
      </c>
      <c r="I100" s="1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3.8" thickBot="1">
      <c r="A101" s="212"/>
      <c r="B101" s="213"/>
      <c r="C101" s="241" t="s">
        <v>374</v>
      </c>
      <c r="D101" s="206"/>
      <c r="E101" s="214"/>
      <c r="F101" s="241"/>
      <c r="G101" s="206"/>
      <c r="H101" s="214"/>
      <c r="I101" s="1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14.4">
      <c r="A102" s="215">
        <v>3100</v>
      </c>
      <c r="B102" s="216" t="s">
        <v>766</v>
      </c>
      <c r="C102" s="280">
        <v>-35803</v>
      </c>
      <c r="D102" s="281"/>
      <c r="E102" s="282"/>
      <c r="F102" s="280">
        <v>-18110</v>
      </c>
      <c r="G102" s="281"/>
      <c r="H102" s="282"/>
      <c r="I102" s="1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3110</v>
      </c>
      <c r="B103" s="213" t="s">
        <v>176</v>
      </c>
      <c r="C103" s="247">
        <v>-151201.10999999999</v>
      </c>
      <c r="D103" s="206"/>
      <c r="E103" s="214"/>
      <c r="F103" s="247">
        <v>-175656.28</v>
      </c>
      <c r="G103" s="206"/>
      <c r="H103" s="214"/>
      <c r="I103" s="1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3120</v>
      </c>
      <c r="B104" s="213" t="s">
        <v>178</v>
      </c>
      <c r="C104" s="247">
        <v>-121600</v>
      </c>
      <c r="D104" s="206"/>
      <c r="E104" s="214"/>
      <c r="F104" s="247">
        <v>-34375</v>
      </c>
      <c r="G104" s="206"/>
      <c r="H104" s="214"/>
      <c r="I104" s="1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14.4">
      <c r="A105" s="215">
        <v>3160</v>
      </c>
      <c r="B105" s="216" t="s">
        <v>767</v>
      </c>
      <c r="C105" s="247">
        <v>0</v>
      </c>
      <c r="D105" s="206"/>
      <c r="E105" s="214"/>
      <c r="F105" s="247">
        <v>-950</v>
      </c>
      <c r="G105" s="206"/>
      <c r="H105" s="214"/>
      <c r="I105" s="1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3400</v>
      </c>
      <c r="B106" s="213" t="s">
        <v>182</v>
      </c>
      <c r="C106" s="243">
        <v>-1058000</v>
      </c>
      <c r="D106" s="227">
        <f>C106</f>
        <v>-1058000</v>
      </c>
      <c r="E106" s="214"/>
      <c r="F106" s="243">
        <v>-814000</v>
      </c>
      <c r="G106" s="227">
        <f>F106</f>
        <v>-814000</v>
      </c>
      <c r="H106" s="214"/>
      <c r="I106" s="1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3440</v>
      </c>
      <c r="B107" s="213" t="s">
        <v>588</v>
      </c>
      <c r="C107" s="247">
        <v>-749357</v>
      </c>
      <c r="D107" s="206"/>
      <c r="E107" s="214"/>
      <c r="F107" s="247">
        <v>-639423.97</v>
      </c>
      <c r="G107" s="206"/>
      <c r="H107" s="214"/>
      <c r="I107" s="1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4">
      <c r="A108" s="215">
        <v>3480</v>
      </c>
      <c r="B108" s="216" t="s">
        <v>190</v>
      </c>
      <c r="C108" s="247">
        <v>14000</v>
      </c>
      <c r="D108" s="206"/>
      <c r="E108" s="214"/>
      <c r="F108" s="247">
        <v>-20420</v>
      </c>
      <c r="G108" s="206"/>
      <c r="H108" s="214"/>
      <c r="I108" s="1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3490</v>
      </c>
      <c r="B109" s="213" t="s">
        <v>194</v>
      </c>
      <c r="C109" s="247">
        <v>-434028.43</v>
      </c>
      <c r="D109" s="206"/>
      <c r="E109" s="214"/>
      <c r="F109" s="247">
        <v>-510116.31</v>
      </c>
      <c r="G109" s="206"/>
      <c r="H109" s="214"/>
      <c r="I109" s="1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3610</v>
      </c>
      <c r="B110" s="213" t="s">
        <v>589</v>
      </c>
      <c r="C110" s="248">
        <v>-389550</v>
      </c>
      <c r="D110" s="206"/>
      <c r="E110" s="214"/>
      <c r="F110" s="248">
        <v>-347167</v>
      </c>
      <c r="G110" s="206"/>
      <c r="H110" s="214"/>
      <c r="I110" s="1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3630</v>
      </c>
      <c r="B111" s="213" t="s">
        <v>198</v>
      </c>
      <c r="C111" s="248">
        <v>-50975</v>
      </c>
      <c r="D111" s="231">
        <f>SUM(C110:C111)</f>
        <v>-440525</v>
      </c>
      <c r="E111" s="214"/>
      <c r="F111" s="248">
        <v>-31955</v>
      </c>
      <c r="G111" s="231">
        <f>SUM(F110:F111)</f>
        <v>-379122</v>
      </c>
      <c r="H111" s="214"/>
      <c r="I111" s="1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14.4">
      <c r="A112" s="215">
        <v>3700</v>
      </c>
      <c r="B112" s="216" t="s">
        <v>768</v>
      </c>
      <c r="C112" s="247">
        <v>0</v>
      </c>
      <c r="D112" s="206"/>
      <c r="E112" s="214"/>
      <c r="F112" s="247">
        <v>-3094</v>
      </c>
      <c r="G112" s="232"/>
      <c r="H112" s="214"/>
      <c r="I112" s="1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14.4">
      <c r="A113" s="215">
        <v>3900</v>
      </c>
      <c r="B113" s="216" t="s">
        <v>590</v>
      </c>
      <c r="C113" s="247">
        <v>-640</v>
      </c>
      <c r="D113" s="206"/>
      <c r="E113" s="214"/>
      <c r="F113" s="247"/>
      <c r="G113" s="232"/>
      <c r="H113" s="214"/>
      <c r="I113" s="1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3910</v>
      </c>
      <c r="B114" s="213" t="s">
        <v>591</v>
      </c>
      <c r="C114" s="249">
        <v>-514732.67</v>
      </c>
      <c r="D114" s="206"/>
      <c r="E114" s="214"/>
      <c r="F114" s="249">
        <v>-335652</v>
      </c>
      <c r="G114" s="206"/>
      <c r="H114" s="214"/>
      <c r="I114" s="1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3915</v>
      </c>
      <c r="B115" s="213" t="s">
        <v>204</v>
      </c>
      <c r="C115" s="249">
        <v>0</v>
      </c>
      <c r="D115" s="206"/>
      <c r="E115" s="214"/>
      <c r="F115" s="249">
        <v>0</v>
      </c>
      <c r="G115" s="206"/>
      <c r="H115" s="214"/>
      <c r="I115" s="1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3920</v>
      </c>
      <c r="B116" s="213" t="s">
        <v>592</v>
      </c>
      <c r="C116" s="249">
        <v>-1360611</v>
      </c>
      <c r="D116" s="206"/>
      <c r="E116" s="214"/>
      <c r="F116" s="249">
        <v>-1372120</v>
      </c>
      <c r="G116" s="206"/>
      <c r="H116" s="214"/>
      <c r="I116" s="1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3925</v>
      </c>
      <c r="B117" s="213" t="s">
        <v>208</v>
      </c>
      <c r="C117" s="249">
        <v>0</v>
      </c>
      <c r="D117" s="233">
        <f>SUM(C114:C117)</f>
        <v>-1875343.67</v>
      </c>
      <c r="E117" s="214"/>
      <c r="F117" s="249">
        <v>0</v>
      </c>
      <c r="G117" s="233">
        <f>SUM(F114:F117)</f>
        <v>-1707772</v>
      </c>
      <c r="H117" s="214"/>
      <c r="I117" s="1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>
        <v>3940</v>
      </c>
      <c r="B118" s="213" t="s">
        <v>212</v>
      </c>
      <c r="C118" s="247">
        <v>-212549.14</v>
      </c>
      <c r="D118" s="206"/>
      <c r="E118" s="214"/>
      <c r="F118" s="247">
        <v>-372578</v>
      </c>
      <c r="G118" s="206"/>
      <c r="H118" s="214"/>
      <c r="I118" s="1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>
        <v>3950</v>
      </c>
      <c r="B119" s="213" t="s">
        <v>214</v>
      </c>
      <c r="C119" s="247">
        <v>-229955.5</v>
      </c>
      <c r="D119" s="206"/>
      <c r="E119" s="214"/>
      <c r="F119" s="247">
        <v>-158131</v>
      </c>
      <c r="G119" s="206"/>
      <c r="H119" s="214"/>
      <c r="I119" s="1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3960</v>
      </c>
      <c r="B120" s="213" t="s">
        <v>216</v>
      </c>
      <c r="C120" s="247">
        <v>-609895.44999999995</v>
      </c>
      <c r="D120" s="206"/>
      <c r="E120" s="214"/>
      <c r="F120" s="247">
        <v>-589987.47</v>
      </c>
      <c r="G120" s="206"/>
      <c r="H120" s="214"/>
      <c r="I120" s="1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3970</v>
      </c>
      <c r="B121" s="213" t="s">
        <v>218</v>
      </c>
      <c r="C121" s="247">
        <v>-641352.5</v>
      </c>
      <c r="D121" s="206"/>
      <c r="E121" s="214"/>
      <c r="F121" s="247">
        <v>-673042.19</v>
      </c>
      <c r="G121" s="206"/>
      <c r="H121" s="214"/>
      <c r="I121" s="1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3990</v>
      </c>
      <c r="B122" s="213" t="s">
        <v>220</v>
      </c>
      <c r="C122" s="283">
        <v>-607612.05000000005</v>
      </c>
      <c r="D122" s="279">
        <f>C102+C103+C104+C105+C107+C108+C109+C112+C118+C119+C120+C121+C122+C123+C113</f>
        <v>-3782339.9</v>
      </c>
      <c r="E122" s="274"/>
      <c r="F122" s="279">
        <v>-178884.82</v>
      </c>
      <c r="G122" s="279">
        <f>F102+F103+F104+F105+F107+F108+F109+F112+F118+F119+F120+F121+F122</f>
        <v>-3374769.04</v>
      </c>
      <c r="H122" s="217"/>
      <c r="I122" s="1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13.8" thickBot="1">
      <c r="A123" s="212">
        <v>3991</v>
      </c>
      <c r="B123" s="213" t="s">
        <v>832</v>
      </c>
      <c r="C123" s="275">
        <v>-2345.7199999999998</v>
      </c>
      <c r="D123" s="276"/>
      <c r="E123" s="277"/>
      <c r="F123" s="275"/>
      <c r="G123" s="276"/>
      <c r="H123" s="278"/>
      <c r="I123" s="1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/>
      <c r="B124" s="213" t="s">
        <v>593</v>
      </c>
      <c r="C124" s="241">
        <f>SUM(C102:C123)</f>
        <v>-7156208.5699999994</v>
      </c>
      <c r="D124" s="206"/>
      <c r="E124" s="214">
        <f>SUM(D106:D122)</f>
        <v>-7156208.5700000003</v>
      </c>
      <c r="F124" s="241">
        <f>SUM(F102:F123)</f>
        <v>-6275663.040000001</v>
      </c>
      <c r="G124" s="206"/>
      <c r="H124" s="214">
        <f>SUM(G106:G122)</f>
        <v>-6275663.04</v>
      </c>
      <c r="I124" s="1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/>
      <c r="B125" s="213"/>
      <c r="C125" s="241" t="s">
        <v>374</v>
      </c>
      <c r="D125" s="206"/>
      <c r="E125" s="214"/>
      <c r="F125" s="241"/>
      <c r="G125" s="206"/>
      <c r="H125" s="214"/>
      <c r="I125" s="1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14.4">
      <c r="A126" s="215">
        <v>4000</v>
      </c>
      <c r="B126" s="216" t="s">
        <v>769</v>
      </c>
      <c r="C126" s="250">
        <v>0</v>
      </c>
      <c r="D126" s="206"/>
      <c r="E126" s="214"/>
      <c r="F126" s="250">
        <v>598</v>
      </c>
      <c r="G126" s="206"/>
      <c r="H126" s="214"/>
      <c r="I126" s="1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4110</v>
      </c>
      <c r="B127" s="213" t="s">
        <v>696</v>
      </c>
      <c r="C127" s="250">
        <v>188332.06</v>
      </c>
      <c r="D127" s="206"/>
      <c r="E127" s="214"/>
      <c r="F127" s="250">
        <v>210509.3</v>
      </c>
      <c r="G127" s="206"/>
      <c r="H127" s="214"/>
      <c r="I127" s="1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4120</v>
      </c>
      <c r="B128" s="213" t="s">
        <v>697</v>
      </c>
      <c r="C128" s="250">
        <v>271969.28000000003</v>
      </c>
      <c r="D128" s="206"/>
      <c r="E128" s="214"/>
      <c r="F128" s="250">
        <v>250778.35</v>
      </c>
      <c r="G128" s="206"/>
      <c r="H128" s="214"/>
      <c r="I128" s="1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4150</v>
      </c>
      <c r="B129" s="213" t="s">
        <v>698</v>
      </c>
      <c r="C129" s="250">
        <v>423189.81</v>
      </c>
      <c r="D129" s="206"/>
      <c r="E129" s="214"/>
      <c r="F129" s="250">
        <v>41624.26</v>
      </c>
      <c r="G129" s="206"/>
      <c r="H129" s="214"/>
      <c r="I129" s="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4200</v>
      </c>
      <c r="B130" s="213" t="s">
        <v>323</v>
      </c>
      <c r="C130" s="250">
        <v>995082.14</v>
      </c>
      <c r="D130" s="206"/>
      <c r="E130" s="214"/>
      <c r="F130" s="250">
        <v>638012.78</v>
      </c>
      <c r="G130" s="206"/>
      <c r="H130" s="214"/>
      <c r="I130" s="1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4300</v>
      </c>
      <c r="B131" s="213" t="s">
        <v>699</v>
      </c>
      <c r="C131" s="250">
        <v>7700.2</v>
      </c>
      <c r="D131" s="206"/>
      <c r="E131" s="214"/>
      <c r="F131" s="250">
        <v>11453.1</v>
      </c>
      <c r="G131" s="206"/>
      <c r="H131" s="214"/>
      <c r="I131" s="1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>
        <v>4350</v>
      </c>
      <c r="B132" s="213" t="s">
        <v>833</v>
      </c>
      <c r="C132" s="250">
        <v>1587</v>
      </c>
      <c r="D132" s="206"/>
      <c r="E132" s="214"/>
      <c r="F132" s="250"/>
      <c r="G132" s="206"/>
      <c r="H132" s="214"/>
      <c r="I132" s="1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4500</v>
      </c>
      <c r="B133" s="213" t="s">
        <v>700</v>
      </c>
      <c r="C133" s="250">
        <v>75853.5</v>
      </c>
      <c r="D133" s="206"/>
      <c r="E133" s="214"/>
      <c r="F133" s="250">
        <v>112520</v>
      </c>
      <c r="G133" s="206"/>
      <c r="H133" s="214"/>
      <c r="I133" s="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4510</v>
      </c>
      <c r="B134" s="213" t="s">
        <v>701</v>
      </c>
      <c r="C134" s="250">
        <v>106874.83</v>
      </c>
      <c r="D134" s="206"/>
      <c r="E134" s="214"/>
      <c r="F134" s="250">
        <v>84811.09</v>
      </c>
      <c r="G134" s="206"/>
      <c r="H134" s="214"/>
      <c r="I134" s="1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4590</v>
      </c>
      <c r="B135" s="213" t="s">
        <v>435</v>
      </c>
      <c r="C135" s="250">
        <v>-7425.63</v>
      </c>
      <c r="D135" s="206"/>
      <c r="E135" s="214"/>
      <c r="F135" s="250">
        <v>-17155</v>
      </c>
      <c r="G135" s="206"/>
      <c r="H135" s="214"/>
      <c r="I135" s="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4610</v>
      </c>
      <c r="B136" s="213" t="s">
        <v>702</v>
      </c>
      <c r="C136" s="250">
        <v>166945.38</v>
      </c>
      <c r="D136" s="206"/>
      <c r="E136" s="214"/>
      <c r="F136" s="250">
        <v>272936.82</v>
      </c>
      <c r="G136" s="206"/>
      <c r="H136" s="214"/>
      <c r="I136" s="1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4700</v>
      </c>
      <c r="B137" s="213" t="s">
        <v>335</v>
      </c>
      <c r="C137" s="250">
        <v>541224.93999999994</v>
      </c>
      <c r="D137" s="206"/>
      <c r="E137" s="214"/>
      <c r="F137" s="250">
        <v>420547.5</v>
      </c>
      <c r="G137" s="206"/>
      <c r="H137" s="214"/>
      <c r="I137" s="1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4800</v>
      </c>
      <c r="B138" s="213" t="s">
        <v>703</v>
      </c>
      <c r="C138" s="250">
        <v>761399.68</v>
      </c>
      <c r="D138" s="206"/>
      <c r="E138" s="214"/>
      <c r="F138" s="250">
        <v>747893.24</v>
      </c>
      <c r="G138" s="206"/>
      <c r="H138" s="214"/>
      <c r="I138" s="1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4.4">
      <c r="A139" s="215">
        <v>4900</v>
      </c>
      <c r="B139" s="216" t="s">
        <v>770</v>
      </c>
      <c r="C139" s="250">
        <v>1853.88</v>
      </c>
      <c r="D139" s="206"/>
      <c r="E139" s="214"/>
      <c r="F139" s="250">
        <v>195</v>
      </c>
      <c r="G139" s="206"/>
      <c r="H139" s="214"/>
      <c r="I139" s="1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4990</v>
      </c>
      <c r="B140" s="213" t="s">
        <v>704</v>
      </c>
      <c r="C140" s="250">
        <v>224422.9</v>
      </c>
      <c r="D140" s="206"/>
      <c r="E140" s="214"/>
      <c r="F140" s="250">
        <v>321192.02</v>
      </c>
      <c r="G140" s="206"/>
      <c r="H140" s="214"/>
      <c r="I140" s="1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/>
      <c r="B141" s="213" t="s">
        <v>595</v>
      </c>
      <c r="C141" s="250">
        <f>SUM(C126:C140)</f>
        <v>3759009.97</v>
      </c>
      <c r="D141" s="234">
        <f>C141</f>
        <v>3759009.97</v>
      </c>
      <c r="E141" s="214"/>
      <c r="F141" s="250">
        <f>SUM(F126:F140)</f>
        <v>3095916.4600000004</v>
      </c>
      <c r="G141" s="234">
        <f>F141</f>
        <v>3095916.4600000004</v>
      </c>
      <c r="H141" s="214"/>
      <c r="I141" s="1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/>
      <c r="B142" s="213"/>
      <c r="C142" s="241" t="s">
        <v>374</v>
      </c>
      <c r="D142" s="206"/>
      <c r="E142" s="214"/>
      <c r="F142" s="241"/>
      <c r="G142" s="206"/>
      <c r="H142" s="214"/>
      <c r="I142" s="1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5000</v>
      </c>
      <c r="B143" s="213" t="s">
        <v>834</v>
      </c>
      <c r="C143" s="251">
        <v>-5000</v>
      </c>
      <c r="D143" s="206"/>
      <c r="E143" s="214"/>
      <c r="F143" s="251"/>
      <c r="G143" s="206"/>
      <c r="H143" s="214"/>
      <c r="I143" s="1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5010</v>
      </c>
      <c r="B144" s="213" t="s">
        <v>596</v>
      </c>
      <c r="C144" s="251">
        <v>372087.55</v>
      </c>
      <c r="D144" s="206"/>
      <c r="E144" s="214"/>
      <c r="F144" s="251">
        <v>362397.02</v>
      </c>
      <c r="G144" s="206"/>
      <c r="H144" s="214"/>
      <c r="I144" s="1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5011</v>
      </c>
      <c r="B145" s="213" t="s">
        <v>597</v>
      </c>
      <c r="C145" s="251">
        <v>552175.75</v>
      </c>
      <c r="D145" s="206"/>
      <c r="E145" s="214"/>
      <c r="F145" s="251">
        <v>318068.40000000002</v>
      </c>
      <c r="G145" s="206"/>
      <c r="H145" s="214"/>
      <c r="I145" s="1"/>
      <c r="J145" s="1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5020</v>
      </c>
      <c r="B146" s="213" t="s">
        <v>599</v>
      </c>
      <c r="C146" s="251">
        <v>0</v>
      </c>
      <c r="D146" s="206"/>
      <c r="E146" s="214"/>
      <c r="F146" s="251">
        <v>0</v>
      </c>
      <c r="G146" s="206"/>
      <c r="H146" s="214"/>
      <c r="I146" s="1"/>
      <c r="J146" s="1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4.4">
      <c r="A147" s="215">
        <v>5090</v>
      </c>
      <c r="B147" s="216" t="s">
        <v>771</v>
      </c>
      <c r="C147" s="251">
        <v>44650.51</v>
      </c>
      <c r="D147" s="206"/>
      <c r="E147" s="214"/>
      <c r="F147" s="251">
        <v>42913.14</v>
      </c>
      <c r="G147" s="206"/>
      <c r="H147" s="214"/>
      <c r="I147" s="1"/>
      <c r="J147" s="1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5250</v>
      </c>
      <c r="B148" s="213" t="s">
        <v>600</v>
      </c>
      <c r="C148" s="251">
        <v>8866</v>
      </c>
      <c r="D148" s="206"/>
      <c r="E148" s="214"/>
      <c r="F148" s="251">
        <v>8760</v>
      </c>
      <c r="G148" s="206"/>
      <c r="H148" s="214"/>
      <c r="I148" s="1"/>
      <c r="J148" s="1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5270</v>
      </c>
      <c r="B149" s="213" t="s">
        <v>601</v>
      </c>
      <c r="C149" s="251">
        <v>4026</v>
      </c>
      <c r="D149" s="206" t="s">
        <v>374</v>
      </c>
      <c r="E149" s="214"/>
      <c r="F149" s="251">
        <v>4392</v>
      </c>
      <c r="G149" s="206"/>
      <c r="H149" s="214"/>
      <c r="I149" s="1"/>
      <c r="J149" s="1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5290</v>
      </c>
      <c r="B150" s="213" t="s">
        <v>602</v>
      </c>
      <c r="C150" s="251">
        <v>-12892</v>
      </c>
      <c r="D150" s="206"/>
      <c r="E150" s="214"/>
      <c r="F150" s="251">
        <v>-13152</v>
      </c>
      <c r="G150" s="206"/>
      <c r="H150" s="214"/>
      <c r="I150" s="1"/>
      <c r="K150" s="1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 ht="14.4">
      <c r="A151" s="215">
        <v>5310</v>
      </c>
      <c r="B151" s="216" t="s">
        <v>772</v>
      </c>
      <c r="C151" s="251">
        <v>1282</v>
      </c>
      <c r="D151" s="206"/>
      <c r="E151" s="214"/>
      <c r="F151" s="251">
        <v>684.63</v>
      </c>
      <c r="G151" s="206"/>
      <c r="H151" s="214"/>
      <c r="I151" s="1"/>
      <c r="J151" s="1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5330</v>
      </c>
      <c r="B152" s="213" t="s">
        <v>705</v>
      </c>
      <c r="C152" s="251">
        <v>1000</v>
      </c>
      <c r="D152" s="206"/>
      <c r="E152" s="214"/>
      <c r="F152" s="251">
        <v>0</v>
      </c>
      <c r="G152" s="206"/>
      <c r="H152" s="214"/>
      <c r="I152" s="1"/>
      <c r="K152" s="1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5350</v>
      </c>
      <c r="B153" s="213" t="s">
        <v>603</v>
      </c>
      <c r="C153" s="251">
        <v>39596.589999999997</v>
      </c>
      <c r="D153" s="206"/>
      <c r="E153" s="214"/>
      <c r="F153" s="251">
        <v>131869.73000000001</v>
      </c>
      <c r="G153" s="206"/>
      <c r="H153" s="214"/>
      <c r="I153" s="1"/>
      <c r="K153" s="1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5400</v>
      </c>
      <c r="B154" s="213" t="s">
        <v>232</v>
      </c>
      <c r="C154" s="251">
        <v>136006.96</v>
      </c>
      <c r="D154" s="206"/>
      <c r="E154" s="214"/>
      <c r="F154" s="251">
        <v>97888.13</v>
      </c>
      <c r="G154" s="206"/>
      <c r="H154" s="214"/>
      <c r="I154" s="1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5401</v>
      </c>
      <c r="B155" s="213" t="s">
        <v>605</v>
      </c>
      <c r="C155" s="251">
        <v>2869.51</v>
      </c>
      <c r="D155" s="206"/>
      <c r="E155" s="214"/>
      <c r="F155" s="251">
        <v>6131.76</v>
      </c>
      <c r="G155" s="206"/>
      <c r="H155" s="214"/>
      <c r="I155" s="1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5800</v>
      </c>
      <c r="B156" s="213" t="s">
        <v>706</v>
      </c>
      <c r="C156" s="251">
        <v>0</v>
      </c>
      <c r="D156" s="206"/>
      <c r="E156" s="214"/>
      <c r="F156" s="251">
        <v>0</v>
      </c>
      <c r="G156" s="206"/>
      <c r="H156" s="214"/>
      <c r="I156" s="1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5801</v>
      </c>
      <c r="B157" s="213" t="s">
        <v>707</v>
      </c>
      <c r="C157" s="251">
        <v>0</v>
      </c>
      <c r="D157" s="206"/>
      <c r="E157" s="214"/>
      <c r="F157" s="251">
        <v>-226</v>
      </c>
      <c r="G157" s="206"/>
      <c r="H157" s="214"/>
      <c r="I157" s="1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5802</v>
      </c>
      <c r="B158" s="213" t="s">
        <v>708</v>
      </c>
      <c r="C158" s="251">
        <v>0</v>
      </c>
      <c r="D158" s="206"/>
      <c r="E158" s="214"/>
      <c r="F158" s="251">
        <v>0</v>
      </c>
      <c r="G158" s="206"/>
      <c r="H158" s="214"/>
      <c r="I158" s="1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5900</v>
      </c>
      <c r="B159" s="213" t="s">
        <v>835</v>
      </c>
      <c r="C159" s="251">
        <v>2138</v>
      </c>
      <c r="D159" s="206"/>
      <c r="E159" s="214"/>
      <c r="F159" s="251"/>
      <c r="G159" s="206"/>
      <c r="H159" s="214"/>
      <c r="I159" s="1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5910</v>
      </c>
      <c r="B160" s="213" t="s">
        <v>836</v>
      </c>
      <c r="C160" s="251">
        <v>3547.28</v>
      </c>
      <c r="D160" s="206"/>
      <c r="E160" s="214"/>
      <c r="F160" s="251"/>
      <c r="G160" s="206"/>
      <c r="H160" s="214"/>
      <c r="I160" s="1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5945</v>
      </c>
      <c r="B161" s="213" t="s">
        <v>607</v>
      </c>
      <c r="C161" s="251">
        <v>8360.5300000000007</v>
      </c>
      <c r="D161" s="206"/>
      <c r="E161" s="214"/>
      <c r="F161" s="251">
        <v>8208</v>
      </c>
      <c r="G161" s="206"/>
      <c r="H161" s="214"/>
      <c r="I161" s="1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>
      <c r="A162" s="212">
        <v>5990</v>
      </c>
      <c r="B162" s="213" t="s">
        <v>608</v>
      </c>
      <c r="C162" s="251">
        <v>10181.799999999999</v>
      </c>
      <c r="D162" s="206"/>
      <c r="E162" s="214"/>
      <c r="F162" s="251">
        <v>18186.560000000001</v>
      </c>
      <c r="G162" s="226"/>
      <c r="H162" s="214"/>
      <c r="I162" s="1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/>
      <c r="B163" s="213" t="s">
        <v>609</v>
      </c>
      <c r="C163" s="251">
        <f>SUM(C143:C162)</f>
        <v>1168896.4800000002</v>
      </c>
      <c r="D163" s="235">
        <f>C163</f>
        <v>1168896.4800000002</v>
      </c>
      <c r="E163" s="214"/>
      <c r="F163" s="251">
        <f>SUM(F143:F162)</f>
        <v>986121.37000000011</v>
      </c>
      <c r="G163" s="235">
        <f>F163</f>
        <v>986121.37000000011</v>
      </c>
      <c r="H163" s="214"/>
      <c r="I163" s="1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/>
      <c r="B164" s="213"/>
      <c r="C164" s="241" t="s">
        <v>374</v>
      </c>
      <c r="D164" s="206"/>
      <c r="E164" s="214"/>
      <c r="F164" s="241"/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6010</v>
      </c>
      <c r="B165" s="213" t="s">
        <v>247</v>
      </c>
      <c r="C165" s="252">
        <v>44843</v>
      </c>
      <c r="D165" s="236"/>
      <c r="E165" s="214"/>
      <c r="F165" s="252">
        <v>64769.8</v>
      </c>
      <c r="G165" s="236"/>
      <c r="H165" s="214"/>
      <c r="I165" s="1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6015</v>
      </c>
      <c r="B166" s="213" t="s">
        <v>837</v>
      </c>
      <c r="C166" s="252">
        <v>6901</v>
      </c>
      <c r="D166" s="236">
        <f>SUM(C165:C166)</f>
        <v>51744</v>
      </c>
      <c r="E166" s="214"/>
      <c r="F166" s="252">
        <v>0</v>
      </c>
      <c r="G166" s="236">
        <f>SUM(F165:F166)</f>
        <v>64769.8</v>
      </c>
      <c r="H166" s="214"/>
      <c r="I166" s="1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6100</v>
      </c>
      <c r="B167" s="213" t="s">
        <v>838</v>
      </c>
      <c r="C167" s="246">
        <v>169.8</v>
      </c>
      <c r="D167" s="230"/>
      <c r="E167" s="214"/>
      <c r="F167" s="246"/>
      <c r="G167" s="230"/>
      <c r="H167" s="214"/>
      <c r="I167" s="1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6110</v>
      </c>
      <c r="B168" s="213" t="s">
        <v>610</v>
      </c>
      <c r="C168" s="246">
        <v>5476.74</v>
      </c>
      <c r="D168" s="206"/>
      <c r="E168" s="214"/>
      <c r="F168" s="246">
        <v>4466.8</v>
      </c>
      <c r="G168" s="206"/>
      <c r="H168" s="214"/>
      <c r="I168" s="1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 ht="14.4">
      <c r="A169" s="215">
        <v>6300</v>
      </c>
      <c r="B169" s="216" t="s">
        <v>773</v>
      </c>
      <c r="C169" s="246">
        <v>24653</v>
      </c>
      <c r="D169" s="206"/>
      <c r="E169" s="214"/>
      <c r="F169" s="246">
        <v>77122</v>
      </c>
      <c r="G169" s="206"/>
      <c r="H169" s="214"/>
      <c r="I169" s="1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6320</v>
      </c>
      <c r="B170" s="213" t="s">
        <v>611</v>
      </c>
      <c r="C170" s="246">
        <v>48366.51</v>
      </c>
      <c r="D170" s="206"/>
      <c r="E170" s="214"/>
      <c r="F170" s="246">
        <v>43653.09</v>
      </c>
      <c r="G170" s="206"/>
      <c r="H170" s="214"/>
      <c r="I170" s="1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6340</v>
      </c>
      <c r="B171" s="213" t="s">
        <v>253</v>
      </c>
      <c r="C171" s="246">
        <v>45898.07</v>
      </c>
      <c r="D171" s="206"/>
      <c r="E171" s="214"/>
      <c r="F171" s="246">
        <v>84080.960000000006</v>
      </c>
      <c r="G171" s="206"/>
      <c r="H171" s="214"/>
      <c r="I171" s="1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6360</v>
      </c>
      <c r="B172" s="213" t="s">
        <v>255</v>
      </c>
      <c r="C172" s="246">
        <v>3600</v>
      </c>
      <c r="D172" s="206"/>
      <c r="E172" s="214"/>
      <c r="F172" s="246"/>
      <c r="G172" s="206"/>
      <c r="H172" s="214"/>
      <c r="I172" s="1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6390</v>
      </c>
      <c r="B173" s="213" t="s">
        <v>612</v>
      </c>
      <c r="C173" s="246">
        <v>0</v>
      </c>
      <c r="D173" s="206"/>
      <c r="E173" s="214"/>
      <c r="F173" s="246">
        <v>2065</v>
      </c>
      <c r="G173" s="206"/>
      <c r="H173" s="214"/>
      <c r="I173" s="1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 ht="14.4">
      <c r="A174" s="215">
        <v>6440</v>
      </c>
      <c r="B174" s="216" t="s">
        <v>774</v>
      </c>
      <c r="C174" s="246">
        <v>65359.31</v>
      </c>
      <c r="D174" s="206"/>
      <c r="E174" s="214"/>
      <c r="F174" s="246">
        <v>52526.67</v>
      </c>
      <c r="G174" s="206"/>
      <c r="H174" s="214"/>
      <c r="I174" s="1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 ht="14.4">
      <c r="A175" s="215">
        <v>6490</v>
      </c>
      <c r="B175" s="216" t="s">
        <v>775</v>
      </c>
      <c r="C175" s="246">
        <v>1100</v>
      </c>
      <c r="D175" s="206"/>
      <c r="E175" s="214"/>
      <c r="F175" s="246">
        <v>2435</v>
      </c>
      <c r="G175" s="206"/>
      <c r="H175" s="214"/>
      <c r="I175" s="1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6540</v>
      </c>
      <c r="B176" s="213" t="s">
        <v>14</v>
      </c>
      <c r="C176" s="246">
        <v>42272.77</v>
      </c>
      <c r="D176" s="206"/>
      <c r="E176" s="214"/>
      <c r="F176" s="246">
        <v>33600.1</v>
      </c>
      <c r="G176" s="206"/>
      <c r="H176" s="214"/>
      <c r="I176" s="1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6550</v>
      </c>
      <c r="B177" s="213" t="s">
        <v>616</v>
      </c>
      <c r="C177" s="246">
        <v>31644.39</v>
      </c>
      <c r="D177" s="206"/>
      <c r="E177" s="214"/>
      <c r="F177" s="246">
        <v>36786.400000000001</v>
      </c>
      <c r="G177" s="206"/>
      <c r="H177" s="214"/>
      <c r="I177" s="1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 ht="14.4">
      <c r="A178" s="215">
        <v>6570</v>
      </c>
      <c r="B178" s="216" t="s">
        <v>776</v>
      </c>
      <c r="C178" s="246">
        <v>1536</v>
      </c>
      <c r="D178" s="206"/>
      <c r="E178" s="214"/>
      <c r="F178" s="246">
        <v>1586</v>
      </c>
      <c r="G178" s="206"/>
      <c r="H178" s="214"/>
      <c r="I178" s="1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 ht="14.4">
      <c r="A179" s="215">
        <v>6590</v>
      </c>
      <c r="B179" s="216" t="s">
        <v>777</v>
      </c>
      <c r="C179" s="246">
        <v>0</v>
      </c>
      <c r="D179" s="206"/>
      <c r="E179" s="214"/>
      <c r="F179" s="246">
        <v>530</v>
      </c>
      <c r="G179" s="206"/>
      <c r="H179" s="214"/>
      <c r="I179" s="1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4.4">
      <c r="A180" s="215">
        <v>6600</v>
      </c>
      <c r="B180" s="216" t="s">
        <v>617</v>
      </c>
      <c r="C180" s="246">
        <v>35145</v>
      </c>
      <c r="D180" s="206"/>
      <c r="E180" s="214"/>
      <c r="F180" s="246">
        <v>35478</v>
      </c>
      <c r="G180" s="206"/>
      <c r="H180" s="214"/>
      <c r="I180" s="1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6620</v>
      </c>
      <c r="B181" s="213" t="s">
        <v>618</v>
      </c>
      <c r="C181" s="246">
        <v>21666.75</v>
      </c>
      <c r="D181" s="206"/>
      <c r="E181" s="214"/>
      <c r="F181" s="246">
        <v>23608.09</v>
      </c>
      <c r="G181" s="206"/>
      <c r="H181" s="214"/>
      <c r="I181" s="1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6700</v>
      </c>
      <c r="B182" s="213" t="s">
        <v>619</v>
      </c>
      <c r="C182" s="246">
        <v>95006.25</v>
      </c>
      <c r="D182" s="206"/>
      <c r="E182" s="214"/>
      <c r="F182" s="246">
        <v>77093.75</v>
      </c>
      <c r="G182" s="206"/>
      <c r="H182" s="214"/>
      <c r="I182" s="1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6712</v>
      </c>
      <c r="B183" s="213" t="s">
        <v>620</v>
      </c>
      <c r="C183" s="246">
        <v>495748</v>
      </c>
      <c r="D183" s="206"/>
      <c r="E183" s="214"/>
      <c r="F183" s="246">
        <v>410794</v>
      </c>
      <c r="G183" s="206"/>
      <c r="H183" s="214"/>
      <c r="I183" s="1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6730</v>
      </c>
      <c r="B184" s="213" t="s">
        <v>279</v>
      </c>
      <c r="C184" s="246">
        <v>201159.98</v>
      </c>
      <c r="D184" s="206"/>
      <c r="E184" s="214"/>
      <c r="F184" s="246">
        <v>234450.32</v>
      </c>
      <c r="G184" s="206"/>
      <c r="H184" s="214"/>
      <c r="I184" s="1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6790</v>
      </c>
      <c r="B185" s="213" t="s">
        <v>621</v>
      </c>
      <c r="C185" s="246">
        <v>11400</v>
      </c>
      <c r="D185" s="206"/>
      <c r="E185" s="214"/>
      <c r="F185" s="246">
        <v>16000</v>
      </c>
      <c r="G185" s="206"/>
      <c r="H185" s="214"/>
      <c r="I185" s="1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6800</v>
      </c>
      <c r="B186" s="213" t="s">
        <v>287</v>
      </c>
      <c r="C186" s="246">
        <v>6707.3</v>
      </c>
      <c r="D186" s="206"/>
      <c r="E186" s="214"/>
      <c r="F186" s="246">
        <v>5249.45</v>
      </c>
      <c r="G186" s="206"/>
      <c r="H186" s="214"/>
      <c r="I186" s="1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6810</v>
      </c>
      <c r="B187" s="213" t="s">
        <v>622</v>
      </c>
      <c r="C187" s="246">
        <v>16675</v>
      </c>
      <c r="D187" s="206"/>
      <c r="E187" s="214"/>
      <c r="F187" s="246">
        <v>1925.79</v>
      </c>
      <c r="G187" s="206"/>
      <c r="H187" s="214"/>
      <c r="I187" s="1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6811</v>
      </c>
      <c r="B188" s="213" t="s">
        <v>623</v>
      </c>
      <c r="C188" s="246">
        <v>46205.91</v>
      </c>
      <c r="D188" s="206"/>
      <c r="E188" s="214"/>
      <c r="F188" s="246">
        <v>81640.98</v>
      </c>
      <c r="G188" s="206"/>
      <c r="H188" s="214"/>
      <c r="I188" s="1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6820</v>
      </c>
      <c r="B189" s="213" t="s">
        <v>624</v>
      </c>
      <c r="C189" s="246">
        <v>28748.9</v>
      </c>
      <c r="D189" s="206"/>
      <c r="E189" s="214"/>
      <c r="F189" s="246">
        <v>12645.5</v>
      </c>
      <c r="G189" s="206"/>
      <c r="H189" s="214"/>
      <c r="I189" s="1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6840</v>
      </c>
      <c r="B190" s="213" t="s">
        <v>625</v>
      </c>
      <c r="C190" s="246">
        <v>999</v>
      </c>
      <c r="D190" s="206"/>
      <c r="E190" s="214"/>
      <c r="F190" s="246">
        <v>1359</v>
      </c>
      <c r="G190" s="206"/>
      <c r="H190" s="214"/>
      <c r="I190" s="1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6860</v>
      </c>
      <c r="B191" s="213" t="s">
        <v>626</v>
      </c>
      <c r="C191" s="246">
        <v>90660.9</v>
      </c>
      <c r="D191" s="206"/>
      <c r="E191" s="214"/>
      <c r="F191" s="246">
        <v>40642.42</v>
      </c>
      <c r="G191" s="206"/>
      <c r="H191" s="214"/>
      <c r="I191" s="1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6900</v>
      </c>
      <c r="B192" s="213" t="s">
        <v>297</v>
      </c>
      <c r="C192" s="246">
        <v>7240.97</v>
      </c>
      <c r="D192" s="206"/>
      <c r="E192" s="214"/>
      <c r="F192" s="246">
        <v>10387.530000000001</v>
      </c>
      <c r="G192" s="206"/>
      <c r="H192" s="214"/>
      <c r="I192" s="1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6940</v>
      </c>
      <c r="B193" s="213" t="s">
        <v>299</v>
      </c>
      <c r="C193" s="246">
        <v>1975.4</v>
      </c>
      <c r="D193" s="206"/>
      <c r="E193" s="214"/>
      <c r="F193" s="246">
        <v>4208.6899999999996</v>
      </c>
      <c r="G193" s="206"/>
      <c r="H193" s="214"/>
      <c r="I193" s="1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 ht="14.4">
      <c r="A194" s="215">
        <v>7000</v>
      </c>
      <c r="B194" s="216" t="s">
        <v>778</v>
      </c>
      <c r="C194" s="246">
        <v>0</v>
      </c>
      <c r="D194" s="206"/>
      <c r="E194" s="214"/>
      <c r="F194" s="246">
        <v>1342.07</v>
      </c>
      <c r="G194" s="206"/>
      <c r="H194" s="214"/>
      <c r="I194" s="1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7100</v>
      </c>
      <c r="B195" s="213" t="s">
        <v>627</v>
      </c>
      <c r="C195" s="246">
        <v>38492.300000000003</v>
      </c>
      <c r="D195" s="206"/>
      <c r="E195" s="214"/>
      <c r="F195" s="246">
        <v>63023.33</v>
      </c>
      <c r="G195" s="206"/>
      <c r="H195" s="214"/>
      <c r="I195" s="1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4.4">
      <c r="A196" s="215">
        <v>7101</v>
      </c>
      <c r="B196" s="216" t="s">
        <v>779</v>
      </c>
      <c r="C196" s="246">
        <v>1884.6</v>
      </c>
      <c r="D196" s="206"/>
      <c r="E196" s="214"/>
      <c r="F196" s="253">
        <v>776.2</v>
      </c>
      <c r="G196" s="206"/>
      <c r="H196" s="214"/>
      <c r="I196" s="1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7110</v>
      </c>
      <c r="B197" s="213" t="s">
        <v>309</v>
      </c>
      <c r="C197" s="246">
        <v>0</v>
      </c>
      <c r="D197" s="206"/>
      <c r="E197" s="214"/>
      <c r="F197" s="246">
        <v>670</v>
      </c>
      <c r="G197" s="206"/>
      <c r="H197" s="214" t="s">
        <v>374</v>
      </c>
      <c r="I197" s="1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7140</v>
      </c>
      <c r="B198" s="213" t="s">
        <v>709</v>
      </c>
      <c r="C198" s="246">
        <v>61094.83</v>
      </c>
      <c r="D198" s="206"/>
      <c r="E198" s="214"/>
      <c r="F198" s="246">
        <v>14559.03</v>
      </c>
      <c r="G198" s="206"/>
      <c r="H198" s="214"/>
      <c r="I198" s="1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7150</v>
      </c>
      <c r="B199" s="213" t="s">
        <v>710</v>
      </c>
      <c r="C199" s="246">
        <v>9005</v>
      </c>
      <c r="D199" s="206"/>
      <c r="E199" s="214"/>
      <c r="F199" s="246">
        <v>8046</v>
      </c>
      <c r="G199" s="206"/>
      <c r="H199" s="214"/>
      <c r="I199" s="1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7160</v>
      </c>
      <c r="B200" s="213" t="s">
        <v>311</v>
      </c>
      <c r="C200" s="246">
        <v>0</v>
      </c>
      <c r="D200" s="206"/>
      <c r="E200" s="214"/>
      <c r="F200" s="246">
        <v>1000</v>
      </c>
      <c r="G200" s="206"/>
      <c r="H200" s="214"/>
      <c r="I200" s="1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7170</v>
      </c>
      <c r="B201" s="213" t="s">
        <v>313</v>
      </c>
      <c r="C201" s="246">
        <v>0</v>
      </c>
      <c r="D201" s="206"/>
      <c r="E201" s="214"/>
      <c r="F201" s="246">
        <v>26580</v>
      </c>
      <c r="G201" s="206"/>
      <c r="H201" s="214"/>
      <c r="I201" s="1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7180</v>
      </c>
      <c r="B202" s="213" t="s">
        <v>315</v>
      </c>
      <c r="C202" s="246">
        <v>0</v>
      </c>
      <c r="D202" s="206"/>
      <c r="E202" s="214"/>
      <c r="F202" s="246">
        <v>3022.56</v>
      </c>
      <c r="G202" s="206"/>
      <c r="H202" s="214"/>
      <c r="I202" s="1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7300</v>
      </c>
      <c r="B203" s="213" t="s">
        <v>711</v>
      </c>
      <c r="C203" s="246">
        <v>117</v>
      </c>
      <c r="D203" s="206"/>
      <c r="E203" s="214"/>
      <c r="F203" s="246">
        <v>0</v>
      </c>
      <c r="G203" s="206"/>
      <c r="H203" s="214"/>
      <c r="I203" s="1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7320</v>
      </c>
      <c r="B204" s="213" t="s">
        <v>629</v>
      </c>
      <c r="C204" s="246">
        <v>38796.980000000003</v>
      </c>
      <c r="D204" s="206"/>
      <c r="E204" s="214"/>
      <c r="F204" s="246">
        <v>26570.67</v>
      </c>
      <c r="G204" s="206"/>
      <c r="H204" s="214"/>
      <c r="I204" s="1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7400</v>
      </c>
      <c r="B205" s="213" t="s">
        <v>712</v>
      </c>
      <c r="C205" s="246">
        <v>710</v>
      </c>
      <c r="D205" s="206"/>
      <c r="E205" s="214"/>
      <c r="F205" s="246">
        <v>1683</v>
      </c>
      <c r="G205" s="206"/>
      <c r="H205" s="214"/>
      <c r="I205" s="1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7410</v>
      </c>
      <c r="B206" s="213" t="s">
        <v>323</v>
      </c>
      <c r="C206" s="246">
        <v>2750</v>
      </c>
      <c r="D206" s="206"/>
      <c r="E206" s="214"/>
      <c r="F206" s="246">
        <v>0</v>
      </c>
      <c r="G206" s="206"/>
      <c r="H206" s="214"/>
      <c r="I206" s="1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7420</v>
      </c>
      <c r="B207" s="213" t="s">
        <v>632</v>
      </c>
      <c r="C207" s="246">
        <v>7861.55</v>
      </c>
      <c r="D207" s="206"/>
      <c r="E207" s="214"/>
      <c r="F207" s="246">
        <v>9267.14</v>
      </c>
      <c r="G207" s="206"/>
      <c r="H207" s="214"/>
      <c r="I207" s="1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7430</v>
      </c>
      <c r="B208" s="213" t="s">
        <v>633</v>
      </c>
      <c r="C208" s="246">
        <v>446</v>
      </c>
      <c r="D208" s="206"/>
      <c r="E208" s="214"/>
      <c r="F208" s="246">
        <v>0</v>
      </c>
      <c r="G208" s="206"/>
      <c r="H208" s="214"/>
      <c r="I208" s="1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7500</v>
      </c>
      <c r="B209" s="213" t="s">
        <v>634</v>
      </c>
      <c r="C209" s="246">
        <v>64184</v>
      </c>
      <c r="D209" s="206"/>
      <c r="E209" s="214"/>
      <c r="F209" s="246">
        <v>98654</v>
      </c>
      <c r="G209" s="206"/>
      <c r="H209" s="214"/>
      <c r="I209" s="1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7510</v>
      </c>
      <c r="B210" s="213" t="s">
        <v>333</v>
      </c>
      <c r="C210" s="246">
        <v>78028</v>
      </c>
      <c r="D210" s="206"/>
      <c r="E210" s="214"/>
      <c r="F210" s="246">
        <v>76630</v>
      </c>
      <c r="G210" s="206"/>
      <c r="H210" s="214"/>
      <c r="I210" s="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7700</v>
      </c>
      <c r="B211" s="213" t="s">
        <v>635</v>
      </c>
      <c r="C211" s="246">
        <v>29255.65</v>
      </c>
      <c r="D211" s="206"/>
      <c r="E211" s="214"/>
      <c r="F211" s="246">
        <v>39974.14</v>
      </c>
      <c r="G211" s="206"/>
      <c r="H211" s="214"/>
      <c r="I211" s="1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7720</v>
      </c>
      <c r="B212" s="213" t="s">
        <v>335</v>
      </c>
      <c r="C212" s="246">
        <v>2850</v>
      </c>
      <c r="D212" s="206"/>
      <c r="E212" s="214"/>
      <c r="F212" s="246"/>
      <c r="G212" s="206"/>
      <c r="H212" s="214"/>
      <c r="I212" s="1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7740</v>
      </c>
      <c r="B213" s="213" t="s">
        <v>636</v>
      </c>
      <c r="C213" s="246">
        <v>-0.51</v>
      </c>
      <c r="D213" s="206"/>
      <c r="E213" s="214"/>
      <c r="F213" s="246">
        <v>-5.92</v>
      </c>
      <c r="G213" s="206"/>
      <c r="H213" s="214"/>
      <c r="I213" s="1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 ht="14.4">
      <c r="A214" s="215">
        <v>7750</v>
      </c>
      <c r="B214" s="216" t="s">
        <v>780</v>
      </c>
      <c r="C214" s="246">
        <v>-43083.75</v>
      </c>
      <c r="D214" s="206"/>
      <c r="E214" s="214"/>
      <c r="F214" s="246">
        <v>48256</v>
      </c>
      <c r="G214" s="206"/>
      <c r="H214" s="214"/>
      <c r="I214" s="1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7770</v>
      </c>
      <c r="B215" s="213" t="s">
        <v>637</v>
      </c>
      <c r="C215" s="246">
        <v>20964.78</v>
      </c>
      <c r="D215" s="206"/>
      <c r="E215" s="214"/>
      <c r="F215" s="246">
        <v>17249.22</v>
      </c>
      <c r="G215" s="206"/>
      <c r="H215" s="214"/>
      <c r="I215" s="1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7790</v>
      </c>
      <c r="B216" s="213" t="s">
        <v>638</v>
      </c>
      <c r="C216" s="246">
        <v>39498.839999999997</v>
      </c>
      <c r="D216" s="206"/>
      <c r="E216" s="214"/>
      <c r="F216" s="246">
        <v>30469</v>
      </c>
      <c r="G216" s="206"/>
      <c r="H216" s="214"/>
      <c r="I216" s="1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7791</v>
      </c>
      <c r="B217" s="213" t="s">
        <v>839</v>
      </c>
      <c r="C217" s="246">
        <v>-58.8</v>
      </c>
      <c r="D217" s="206"/>
      <c r="E217" s="214"/>
      <c r="F217" s="246"/>
      <c r="G217" s="206"/>
      <c r="H217" s="214"/>
      <c r="I217" s="1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7792</v>
      </c>
      <c r="B218" s="213" t="s">
        <v>343</v>
      </c>
      <c r="C218" s="246">
        <v>0</v>
      </c>
      <c r="D218" s="206"/>
      <c r="E218" s="214"/>
      <c r="F218" s="246">
        <v>28047.91</v>
      </c>
      <c r="G218" s="206"/>
      <c r="H218" s="214"/>
      <c r="I218" s="1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7830</v>
      </c>
      <c r="B219" s="213" t="s">
        <v>639</v>
      </c>
      <c r="C219" s="246">
        <v>90208</v>
      </c>
      <c r="D219" s="206"/>
      <c r="E219" s="214"/>
      <c r="F219" s="246"/>
      <c r="G219" s="206"/>
      <c r="H219" s="214"/>
      <c r="I219" s="1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7831</v>
      </c>
      <c r="B220" s="218" t="s">
        <v>713</v>
      </c>
      <c r="C220" s="246">
        <v>-30615.5</v>
      </c>
      <c r="D220" s="206"/>
      <c r="E220" s="214"/>
      <c r="F220" s="246">
        <v>19432</v>
      </c>
      <c r="G220" s="206"/>
      <c r="H220" s="214"/>
      <c r="I220" s="1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23" t="s">
        <v>374</v>
      </c>
      <c r="B221" s="213" t="s">
        <v>655</v>
      </c>
      <c r="C221" s="246">
        <f>SUM(C167:C220)</f>
        <v>1741804.92</v>
      </c>
      <c r="D221" s="230">
        <f>C221</f>
        <v>1741804.92</v>
      </c>
      <c r="E221" s="214"/>
      <c r="F221" s="246">
        <f>SUM(F167:F220)</f>
        <v>1809581.89</v>
      </c>
      <c r="G221" s="230">
        <f>F221</f>
        <v>1809581.89</v>
      </c>
      <c r="H221" s="214"/>
      <c r="I221" s="1"/>
      <c r="K221" s="1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/>
      <c r="B222" s="213"/>
      <c r="C222" s="241" t="s">
        <v>374</v>
      </c>
      <c r="D222" s="206"/>
      <c r="E222" s="214"/>
      <c r="F222" s="241"/>
      <c r="G222" s="206"/>
      <c r="H222" s="214"/>
      <c r="I222" s="1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8050</v>
      </c>
      <c r="B223" s="213" t="s">
        <v>640</v>
      </c>
      <c r="C223" s="250">
        <v>-3106.27</v>
      </c>
      <c r="D223" s="206"/>
      <c r="E223" s="214"/>
      <c r="F223" s="250">
        <v>-4200.1000000000004</v>
      </c>
      <c r="G223" s="206"/>
      <c r="H223" s="214"/>
      <c r="I223" s="1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 ht="14.4">
      <c r="A224" s="215">
        <v>8060</v>
      </c>
      <c r="B224" s="216" t="s">
        <v>781</v>
      </c>
      <c r="C224" s="250">
        <v>5.35</v>
      </c>
      <c r="D224" s="234">
        <f>SUM(C223:C224)</f>
        <v>-3100.92</v>
      </c>
      <c r="E224" s="214"/>
      <c r="F224" s="250">
        <v>-50.1</v>
      </c>
      <c r="G224" s="234">
        <f>SUM(F223:F224)</f>
        <v>-4250.2000000000007</v>
      </c>
      <c r="H224" s="214"/>
      <c r="I224" s="1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 ht="14.4">
      <c r="A225" s="215">
        <v>8150</v>
      </c>
      <c r="B225" s="216" t="s">
        <v>782</v>
      </c>
      <c r="C225" s="254">
        <v>0</v>
      </c>
      <c r="D225" s="206"/>
      <c r="E225" s="214"/>
      <c r="F225" s="254">
        <v>1094.69</v>
      </c>
      <c r="G225" s="232"/>
      <c r="H225" s="214"/>
      <c r="I225" s="1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8153</v>
      </c>
      <c r="B226" s="213" t="s">
        <v>641</v>
      </c>
      <c r="C226" s="254">
        <v>822.21</v>
      </c>
      <c r="D226" s="237">
        <f>SUM(C225:C226)</f>
        <v>822.21</v>
      </c>
      <c r="E226" s="214">
        <f>SUM(D141:D226)</f>
        <v>6719176.6600000001</v>
      </c>
      <c r="F226" s="254">
        <v>1037.21</v>
      </c>
      <c r="G226" s="237">
        <f>SUM(F225:F226)</f>
        <v>2131.9</v>
      </c>
      <c r="H226" s="214">
        <f>SUM(G141:G226)</f>
        <v>5954271.2200000007</v>
      </c>
      <c r="I226" s="1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3.8" thickBot="1">
      <c r="A227" s="222" t="s">
        <v>374</v>
      </c>
      <c r="B227" s="219" t="s">
        <v>642</v>
      </c>
      <c r="C227" s="255">
        <f>SUM(C222:C226)</f>
        <v>-2278.71</v>
      </c>
      <c r="D227" s="220"/>
      <c r="E227" s="221"/>
      <c r="F227" s="255">
        <f>SUM(F223:F226)</f>
        <v>-2118.3000000000006</v>
      </c>
      <c r="G227" s="220"/>
      <c r="H227" s="221"/>
      <c r="I227" s="1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C228" s="23" t="s">
        <v>374</v>
      </c>
      <c r="D228" s="23" t="s">
        <v>790</v>
      </c>
      <c r="E228" s="23"/>
      <c r="F228" s="23"/>
      <c r="G228" s="23"/>
      <c r="H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C229" s="23" t="s">
        <v>374</v>
      </c>
      <c r="D229" s="23"/>
      <c r="E229" s="23"/>
      <c r="F229" s="23"/>
      <c r="G229" s="23"/>
      <c r="H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D230" s="23"/>
      <c r="E230" s="23"/>
      <c r="F230" s="23"/>
      <c r="G230" s="23"/>
      <c r="H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D231" s="23"/>
      <c r="E231" s="23"/>
      <c r="F231" s="23"/>
      <c r="G231" s="23"/>
      <c r="H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C232" s="23" t="s">
        <v>374</v>
      </c>
      <c r="F232" s="23"/>
      <c r="G232" s="23"/>
      <c r="H232" s="23"/>
    </row>
    <row r="233" spans="1:28">
      <c r="F233" s="23"/>
      <c r="G233" s="23"/>
      <c r="H233" s="23"/>
    </row>
    <row r="234" spans="1:28">
      <c r="F234" s="23"/>
      <c r="G234" s="23"/>
      <c r="H234" s="23"/>
    </row>
    <row r="235" spans="1:28">
      <c r="F235" s="23"/>
      <c r="G235" s="23"/>
      <c r="H235" s="23"/>
    </row>
    <row r="236" spans="1:28">
      <c r="F236" s="23"/>
      <c r="G236" s="23"/>
      <c r="H236" s="23"/>
    </row>
    <row r="237" spans="1:28">
      <c r="F237" s="23"/>
      <c r="G237" s="23"/>
      <c r="H237" s="23"/>
    </row>
    <row r="238" spans="1:28">
      <c r="F238" s="23"/>
      <c r="G238" s="23"/>
      <c r="H238" s="23"/>
    </row>
    <row r="239" spans="1:28">
      <c r="F239" s="23"/>
      <c r="G239" s="23"/>
      <c r="H239" s="23"/>
    </row>
    <row r="240" spans="1:28">
      <c r="F240" s="23"/>
      <c r="G240" s="23"/>
      <c r="H240" s="23"/>
    </row>
    <row r="241" spans="6:8">
      <c r="F241" s="23"/>
      <c r="G241" s="23"/>
      <c r="H241" s="23"/>
    </row>
    <row r="242" spans="6:8">
      <c r="F242" s="23"/>
      <c r="G242" s="23"/>
      <c r="H242" s="23"/>
    </row>
    <row r="243" spans="6:8">
      <c r="F243" s="23"/>
      <c r="G243" s="23"/>
      <c r="H243" s="23"/>
    </row>
    <row r="244" spans="6:8">
      <c r="F244" s="23"/>
      <c r="G244" s="23"/>
      <c r="H244" s="23"/>
    </row>
    <row r="245" spans="6:8">
      <c r="F245" s="23"/>
      <c r="G245" s="23"/>
      <c r="H245" s="23"/>
    </row>
    <row r="246" spans="6:8">
      <c r="F246" s="23"/>
      <c r="G246" s="23"/>
      <c r="H246" s="23"/>
    </row>
    <row r="247" spans="6:8">
      <c r="F247" s="23"/>
      <c r="G247" s="23"/>
      <c r="H247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5"/>
  <sheetViews>
    <sheetView workbookViewId="0">
      <selection activeCell="C29" sqref="C29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4" ht="23.4">
      <c r="A1" s="2" t="s">
        <v>784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97" t="s">
        <v>376</v>
      </c>
      <c r="C6" s="375" t="s">
        <v>377</v>
      </c>
      <c r="D6" s="375"/>
    </row>
    <row r="7" spans="1:4">
      <c r="B7" s="197"/>
      <c r="C7" s="197" t="s">
        <v>787</v>
      </c>
      <c r="D7" s="197" t="s">
        <v>672</v>
      </c>
    </row>
    <row r="8" spans="1:4">
      <c r="A8" s="3" t="s">
        <v>379</v>
      </c>
      <c r="B8" s="197" t="s">
        <v>374</v>
      </c>
      <c r="C8" s="141"/>
      <c r="D8" s="141"/>
    </row>
    <row r="9" spans="1:4">
      <c r="A9" t="s">
        <v>423</v>
      </c>
      <c r="B9" s="197"/>
      <c r="C9" s="170">
        <f>'Saldobalanse 2016'!D102*-1</f>
        <v>814000</v>
      </c>
      <c r="D9" s="170">
        <v>323600</v>
      </c>
    </row>
    <row r="10" spans="1:4">
      <c r="A10" t="s">
        <v>424</v>
      </c>
      <c r="B10" s="197"/>
      <c r="C10" s="170">
        <f>'Saldobalanse 2016'!D112*-1</f>
        <v>1707772</v>
      </c>
      <c r="D10" s="170">
        <v>1267162.3</v>
      </c>
    </row>
    <row r="11" spans="1:4">
      <c r="A11" t="s">
        <v>425</v>
      </c>
      <c r="B11" s="197"/>
      <c r="C11" s="170">
        <f>'Saldobalanse 2016'!D107*-1</f>
        <v>379122</v>
      </c>
      <c r="D11" s="170">
        <v>199530</v>
      </c>
    </row>
    <row r="12" spans="1:4">
      <c r="A12" t="s">
        <v>220</v>
      </c>
      <c r="B12" s="197"/>
      <c r="C12" s="171">
        <f>'Saldobalanse 2016'!D117*-1</f>
        <v>3374769.04</v>
      </c>
      <c r="D12" s="171">
        <v>3040236.8300000005</v>
      </c>
    </row>
    <row r="13" spans="1:4">
      <c r="A13" s="3" t="s">
        <v>381</v>
      </c>
      <c r="B13" s="197"/>
      <c r="C13" s="172">
        <f>SUM(C9:C12)</f>
        <v>6275663.04</v>
      </c>
      <c r="D13" s="172">
        <v>4830529.1300000008</v>
      </c>
    </row>
    <row r="14" spans="1:4">
      <c r="B14" s="197"/>
      <c r="C14" s="170"/>
      <c r="D14" s="170"/>
    </row>
    <row r="15" spans="1:4">
      <c r="A15" s="3" t="s">
        <v>382</v>
      </c>
      <c r="B15" s="197"/>
      <c r="C15" s="170"/>
      <c r="D15" s="170"/>
    </row>
    <row r="16" spans="1:4">
      <c r="A16" t="s">
        <v>383</v>
      </c>
      <c r="B16" s="197" t="s">
        <v>374</v>
      </c>
      <c r="C16" s="170">
        <f>'Saldobalanse 2016'!D134</f>
        <v>3095916.4600000004</v>
      </c>
      <c r="D16" s="170">
        <v>3174342.5399999996</v>
      </c>
    </row>
    <row r="17" spans="1:4">
      <c r="A17" s="139" t="s">
        <v>247</v>
      </c>
      <c r="B17" s="140"/>
      <c r="C17" s="173">
        <f>'Saldobalanse 2016'!D155</f>
        <v>64769.8</v>
      </c>
      <c r="D17" s="173">
        <v>138410.51999999999</v>
      </c>
    </row>
    <row r="18" spans="1:4">
      <c r="A18" t="s">
        <v>384</v>
      </c>
      <c r="B18" s="197" t="s">
        <v>815</v>
      </c>
      <c r="C18" s="170">
        <f>'Saldobalanse 2016'!D153</f>
        <v>986121.37000000011</v>
      </c>
      <c r="D18" s="170">
        <v>961088.32000000007</v>
      </c>
    </row>
    <row r="19" spans="1:4">
      <c r="A19" t="s">
        <v>385</v>
      </c>
      <c r="B19" s="197"/>
      <c r="C19" s="171">
        <f>'Saldobalanse 2016'!D204</f>
        <v>1809581.89</v>
      </c>
      <c r="D19" s="171">
        <v>1098239.8599999999</v>
      </c>
    </row>
    <row r="20" spans="1:4">
      <c r="A20" s="3" t="s">
        <v>386</v>
      </c>
      <c r="B20" s="197"/>
      <c r="C20" s="172">
        <f>SUM(C16:C19)</f>
        <v>5956389.5200000005</v>
      </c>
      <c r="D20" s="172">
        <v>5372081.2400000002</v>
      </c>
    </row>
    <row r="21" spans="1:4">
      <c r="B21" s="197"/>
      <c r="C21" s="170"/>
      <c r="D21" s="170"/>
    </row>
    <row r="22" spans="1:4">
      <c r="A22" s="3" t="s">
        <v>387</v>
      </c>
      <c r="B22" s="197"/>
      <c r="C22" s="172">
        <f>C13-C20</f>
        <v>319273.51999999955</v>
      </c>
      <c r="D22" s="172">
        <v>-541552.1099999994</v>
      </c>
    </row>
    <row r="23" spans="1:4">
      <c r="B23" s="197"/>
      <c r="C23" s="170"/>
      <c r="D23" s="170"/>
    </row>
    <row r="24" spans="1:4">
      <c r="A24" s="3" t="s">
        <v>388</v>
      </c>
      <c r="B24" s="197"/>
      <c r="C24" s="170"/>
      <c r="D24" s="170"/>
    </row>
    <row r="25" spans="1:4">
      <c r="A25" t="s">
        <v>389</v>
      </c>
      <c r="B25" s="197"/>
      <c r="C25" s="170">
        <f>'Saldobalanse 2016'!D207*-1</f>
        <v>4250.2000000000007</v>
      </c>
      <c r="D25" s="170">
        <v>35225.019999999997</v>
      </c>
    </row>
    <row r="26" spans="1:4">
      <c r="A26" t="s">
        <v>390</v>
      </c>
      <c r="B26" s="197"/>
      <c r="C26" s="171">
        <f>'Saldobalanse 2016'!D209</f>
        <v>2131.9</v>
      </c>
      <c r="D26" s="171">
        <v>1198.5999999999999</v>
      </c>
    </row>
    <row r="27" spans="1:4">
      <c r="A27" s="3" t="s">
        <v>391</v>
      </c>
      <c r="B27" s="197"/>
      <c r="C27" s="172">
        <f>C25-C26</f>
        <v>2118.3000000000006</v>
      </c>
      <c r="D27" s="172">
        <v>34026.42</v>
      </c>
    </row>
    <row r="28" spans="1:4">
      <c r="A28" s="3"/>
      <c r="B28" s="197"/>
      <c r="C28" s="172"/>
      <c r="D28" s="172"/>
    </row>
    <row r="29" spans="1:4">
      <c r="A29" s="3" t="s">
        <v>392</v>
      </c>
      <c r="B29" s="197"/>
      <c r="C29" s="172">
        <f>C22+C27</f>
        <v>321391.81999999954</v>
      </c>
      <c r="D29" s="172">
        <v>-507525.68999999942</v>
      </c>
    </row>
    <row r="30" spans="1:4">
      <c r="B30" s="197"/>
      <c r="C30" s="170"/>
      <c r="D30" s="170"/>
    </row>
    <row r="31" spans="1:4">
      <c r="A31" s="3" t="s">
        <v>393</v>
      </c>
      <c r="B31" s="197"/>
      <c r="C31" s="170"/>
      <c r="D31" s="170"/>
    </row>
    <row r="32" spans="1:4">
      <c r="A32" t="s">
        <v>394</v>
      </c>
      <c r="B32" s="197"/>
      <c r="C32" s="171">
        <f>C29</f>
        <v>321391.81999999954</v>
      </c>
      <c r="D32" s="171">
        <v>-507525.68999999942</v>
      </c>
    </row>
    <row r="33" spans="1:4">
      <c r="A33" s="3" t="s">
        <v>395</v>
      </c>
      <c r="B33" s="197"/>
      <c r="C33" s="172">
        <f>SUM(C32)</f>
        <v>321391.81999999954</v>
      </c>
      <c r="D33" s="172">
        <v>-507525.68999999942</v>
      </c>
    </row>
    <row r="34" spans="1:4">
      <c r="B34" s="197"/>
      <c r="C34" s="170" t="s">
        <v>374</v>
      </c>
      <c r="D34" s="170"/>
    </row>
    <row r="35" spans="1:4">
      <c r="B35" s="197"/>
      <c r="C35" s="170" t="s">
        <v>374</v>
      </c>
      <c r="D35" s="170"/>
    </row>
    <row r="36" spans="1:4">
      <c r="B36" s="197"/>
      <c r="C36" s="170"/>
      <c r="D36" s="170"/>
    </row>
    <row r="37" spans="1:4" ht="23.4">
      <c r="A37" s="2" t="s">
        <v>788</v>
      </c>
      <c r="B37" s="197"/>
      <c r="C37" s="141"/>
      <c r="D37" s="141"/>
    </row>
    <row r="38" spans="1:4" s="4" customFormat="1">
      <c r="B38" s="197"/>
      <c r="C38" s="174"/>
      <c r="D38" s="174"/>
    </row>
    <row r="39" spans="1:4" s="4" customFormat="1">
      <c r="B39" s="197"/>
      <c r="C39" s="376" t="s">
        <v>396</v>
      </c>
      <c r="D39" s="376"/>
    </row>
    <row r="40" spans="1:4">
      <c r="B40" s="197" t="s">
        <v>376</v>
      </c>
      <c r="C40" s="198" t="s">
        <v>787</v>
      </c>
      <c r="D40" s="198" t="s">
        <v>672</v>
      </c>
    </row>
    <row r="41" spans="1:4">
      <c r="A41" s="3" t="s">
        <v>397</v>
      </c>
      <c r="B41" s="197"/>
      <c r="C41" s="141"/>
      <c r="D41" s="141"/>
    </row>
    <row r="42" spans="1:4">
      <c r="A42" s="3" t="s">
        <v>398</v>
      </c>
      <c r="B42" s="197"/>
      <c r="C42" s="176"/>
      <c r="D42" s="176"/>
    </row>
    <row r="43" spans="1:4">
      <c r="A43" s="10" t="s">
        <v>399</v>
      </c>
      <c r="B43" s="197" t="s">
        <v>521</v>
      </c>
      <c r="C43" s="170">
        <f>'Saldobalanse 2016'!D6</f>
        <v>1332790</v>
      </c>
      <c r="D43" s="179">
        <v>1352719.8</v>
      </c>
    </row>
    <row r="44" spans="1:4">
      <c r="A44" s="10" t="s">
        <v>429</v>
      </c>
      <c r="B44" s="197" t="s">
        <v>522</v>
      </c>
      <c r="C44" s="171">
        <f>'Saldobalanse 2016'!D10</f>
        <v>169585</v>
      </c>
      <c r="D44" s="171">
        <v>210880</v>
      </c>
    </row>
    <row r="45" spans="1:4">
      <c r="A45" s="3" t="s">
        <v>400</v>
      </c>
      <c r="B45" s="197"/>
      <c r="C45" s="172">
        <f>SUM(C43:C44)</f>
        <v>1502375</v>
      </c>
      <c r="D45" s="172">
        <v>1563599.8</v>
      </c>
    </row>
    <row r="46" spans="1:4">
      <c r="B46" s="197"/>
      <c r="C46" s="170"/>
      <c r="D46" s="170"/>
    </row>
    <row r="47" spans="1:4">
      <c r="A47" s="3" t="s">
        <v>401</v>
      </c>
      <c r="B47" s="197"/>
      <c r="C47" s="141"/>
      <c r="D47" s="170"/>
    </row>
    <row r="48" spans="1:4">
      <c r="A48" t="s">
        <v>402</v>
      </c>
      <c r="B48" s="197" t="s">
        <v>380</v>
      </c>
      <c r="C48" s="170">
        <f>'Saldobalanse 2016'!D11</f>
        <v>65282</v>
      </c>
      <c r="D48" s="170">
        <v>48127</v>
      </c>
    </row>
    <row r="49" spans="1:4">
      <c r="A49" t="s">
        <v>22</v>
      </c>
      <c r="B49" s="197" t="s">
        <v>380</v>
      </c>
      <c r="C49" s="170">
        <f>'Saldobalanse 2016'!D14</f>
        <v>113396.48000000001</v>
      </c>
      <c r="D49" s="170">
        <v>85930</v>
      </c>
    </row>
    <row r="50" spans="1:4">
      <c r="A50" t="s">
        <v>403</v>
      </c>
      <c r="B50" s="197" t="s">
        <v>380</v>
      </c>
      <c r="C50" s="170">
        <f>'Saldobalanse 2016'!D19</f>
        <v>190927</v>
      </c>
      <c r="D50" s="170">
        <v>127820.86</v>
      </c>
    </row>
    <row r="51" spans="1:4">
      <c r="A51" t="s">
        <v>404</v>
      </c>
      <c r="B51" s="197" t="s">
        <v>405</v>
      </c>
      <c r="C51" s="171">
        <f>'Saldobalanse 2016'!D33</f>
        <v>1737446.27</v>
      </c>
      <c r="D51" s="171">
        <v>1576200.6199999999</v>
      </c>
    </row>
    <row r="52" spans="1:4">
      <c r="A52" s="3" t="s">
        <v>406</v>
      </c>
      <c r="B52" s="197"/>
      <c r="C52" s="172">
        <f>SUM(C48:C51)</f>
        <v>2107051.75</v>
      </c>
      <c r="D52" s="172">
        <v>1838078.48</v>
      </c>
    </row>
    <row r="53" spans="1:4">
      <c r="B53" s="197"/>
      <c r="C53" s="170"/>
      <c r="D53" s="170"/>
    </row>
    <row r="54" spans="1:4">
      <c r="A54" s="3" t="s">
        <v>407</v>
      </c>
      <c r="B54" s="197"/>
      <c r="C54" s="172">
        <f>C45+C52</f>
        <v>3609426.75</v>
      </c>
      <c r="D54" s="172">
        <f>D45+D52</f>
        <v>3401678.2800000003</v>
      </c>
    </row>
    <row r="55" spans="1:4">
      <c r="B55" s="197"/>
      <c r="C55" s="141"/>
      <c r="D55" s="170"/>
    </row>
    <row r="56" spans="1:4">
      <c r="B56" s="197"/>
      <c r="C56" s="141"/>
      <c r="D56" s="170"/>
    </row>
    <row r="57" spans="1:4" ht="21">
      <c r="A57" s="98" t="str">
        <f>A37</f>
        <v>Balanse pr 31.12.2016 for Oslostudentenes Idrettsklubb</v>
      </c>
      <c r="B57" s="197"/>
      <c r="C57" s="141"/>
      <c r="D57" s="170"/>
    </row>
    <row r="58" spans="1:4">
      <c r="B58" s="197"/>
      <c r="C58" s="141"/>
      <c r="D58" s="170"/>
    </row>
    <row r="59" spans="1:4">
      <c r="B59" s="197"/>
      <c r="C59" s="377" t="s">
        <v>396</v>
      </c>
      <c r="D59" s="377"/>
    </row>
    <row r="60" spans="1:4">
      <c r="B60" s="197" t="s">
        <v>376</v>
      </c>
      <c r="C60" s="199" t="str">
        <f>C40</f>
        <v>2 0 1 6</v>
      </c>
      <c r="D60" s="181" t="str">
        <f>D40</f>
        <v>2 0 1 5</v>
      </c>
    </row>
    <row r="61" spans="1:4">
      <c r="A61" s="3" t="s">
        <v>408</v>
      </c>
      <c r="B61" s="197"/>
      <c r="C61" s="141"/>
      <c r="D61" s="170"/>
    </row>
    <row r="62" spans="1:4">
      <c r="A62" s="16" t="s">
        <v>431</v>
      </c>
      <c r="B62" s="197" t="s">
        <v>409</v>
      </c>
      <c r="C62" s="170">
        <f>'Saldobalanse 2016'!D72</f>
        <v>-637309.85000000009</v>
      </c>
      <c r="D62" s="170">
        <v>-637309.85000000009</v>
      </c>
    </row>
    <row r="63" spans="1:4">
      <c r="A63" s="16" t="s">
        <v>432</v>
      </c>
      <c r="B63" s="197"/>
      <c r="C63" s="171">
        <f>'Saldobalanse 2016'!D80</f>
        <v>-958129.59999999963</v>
      </c>
      <c r="D63" s="171">
        <f>'Årsregnskap 2015'!C64</f>
        <v>-636737.78000000236</v>
      </c>
    </row>
    <row r="64" spans="1:4">
      <c r="A64" s="3" t="s">
        <v>410</v>
      </c>
      <c r="B64" s="197"/>
      <c r="C64" s="172">
        <f>SUM(C62:C63)</f>
        <v>-1595439.4499999997</v>
      </c>
      <c r="D64" s="172">
        <f>SUM(D62:D63)</f>
        <v>-1274047.6300000024</v>
      </c>
    </row>
    <row r="65" spans="1:6">
      <c r="B65" s="197"/>
      <c r="C65" s="141"/>
      <c r="D65" s="170"/>
    </row>
    <row r="66" spans="1:6">
      <c r="A66" s="3" t="s">
        <v>411</v>
      </c>
      <c r="B66" s="197"/>
      <c r="C66" s="141"/>
      <c r="D66" s="170"/>
      <c r="F66" t="s">
        <v>374</v>
      </c>
    </row>
    <row r="67" spans="1:6">
      <c r="A67" s="16" t="s">
        <v>433</v>
      </c>
      <c r="B67" s="197" t="s">
        <v>521</v>
      </c>
      <c r="C67" s="170">
        <f>'Saldobalanse 2016'!D87</f>
        <v>-20000</v>
      </c>
      <c r="D67" s="170">
        <v>-20000</v>
      </c>
    </row>
    <row r="68" spans="1:6">
      <c r="A68" t="s">
        <v>413</v>
      </c>
      <c r="B68" s="197" t="s">
        <v>521</v>
      </c>
      <c r="C68" s="171">
        <f>'Saldobalanse 2016'!D83</f>
        <v>-1312790</v>
      </c>
      <c r="D68" s="171">
        <v>-1312790</v>
      </c>
    </row>
    <row r="69" spans="1:6">
      <c r="A69" s="3" t="s">
        <v>415</v>
      </c>
      <c r="B69" s="197"/>
      <c r="C69" s="172">
        <f>SUM(C67:C68)</f>
        <v>-1332790</v>
      </c>
      <c r="D69" s="172">
        <f>SUM(D67:D68)</f>
        <v>-1332790</v>
      </c>
    </row>
    <row r="70" spans="1:6">
      <c r="B70" s="197"/>
      <c r="C70" s="141"/>
      <c r="D70" s="170"/>
    </row>
    <row r="71" spans="1:6">
      <c r="A71" s="3" t="s">
        <v>416</v>
      </c>
      <c r="B71" s="197"/>
      <c r="C71" s="141"/>
      <c r="D71" s="170"/>
    </row>
    <row r="72" spans="1:6">
      <c r="A72" t="s">
        <v>144</v>
      </c>
      <c r="B72" s="197"/>
      <c r="C72" s="170">
        <f>'Saldobalanse 2016'!D84</f>
        <v>-562768.36</v>
      </c>
      <c r="D72" s="170">
        <v>-322378.44</v>
      </c>
    </row>
    <row r="73" spans="1:6">
      <c r="A73" t="s">
        <v>417</v>
      </c>
      <c r="B73" s="197" t="s">
        <v>405</v>
      </c>
      <c r="C73" s="170">
        <f>'Saldobalanse 2016'!D89</f>
        <v>-31009.059999999998</v>
      </c>
      <c r="D73" s="170">
        <v>-56117</v>
      </c>
    </row>
    <row r="74" spans="1:6">
      <c r="A74" t="s">
        <v>146</v>
      </c>
      <c r="B74" s="197" t="s">
        <v>374</v>
      </c>
      <c r="C74" s="171">
        <f>'Saldobalanse 2016'!D95</f>
        <v>-87419.88</v>
      </c>
      <c r="D74" s="171">
        <v>-416345.21</v>
      </c>
    </row>
    <row r="75" spans="1:6">
      <c r="A75" s="3" t="s">
        <v>418</v>
      </c>
      <c r="B75" s="197"/>
      <c r="C75" s="172">
        <f>SUM(C72:C74)</f>
        <v>-681197.29999999993</v>
      </c>
      <c r="D75" s="172">
        <f>SUM(D72:D74)</f>
        <v>-794840.65</v>
      </c>
    </row>
    <row r="76" spans="1:6">
      <c r="B76" s="197"/>
      <c r="C76" s="141"/>
      <c r="D76" s="170"/>
    </row>
    <row r="77" spans="1:6">
      <c r="A77" s="3" t="s">
        <v>419</v>
      </c>
      <c r="B77" s="197"/>
      <c r="C77" s="172">
        <f>C64+C69+C75</f>
        <v>-3609426.7499999995</v>
      </c>
      <c r="D77" s="172">
        <f>D64+D69+D75</f>
        <v>-3401678.2800000026</v>
      </c>
    </row>
    <row r="78" spans="1:6">
      <c r="C78" s="141"/>
      <c r="D78" s="141"/>
    </row>
    <row r="79" spans="1:6">
      <c r="B79" s="3" t="s">
        <v>789</v>
      </c>
    </row>
    <row r="81" spans="1:4" ht="13.2">
      <c r="A81" s="95" t="s">
        <v>536</v>
      </c>
      <c r="B81" s="96" t="s">
        <v>420</v>
      </c>
      <c r="D81" s="96" t="s">
        <v>420</v>
      </c>
    </row>
    <row r="82" spans="1:4" ht="13.2">
      <c r="A82" s="95"/>
      <c r="B82" s="96"/>
      <c r="D82" s="96"/>
    </row>
    <row r="83" spans="1:4" ht="13.2">
      <c r="A83" s="95" t="s">
        <v>420</v>
      </c>
      <c r="B83" s="96" t="s">
        <v>420</v>
      </c>
      <c r="D83" s="96" t="s">
        <v>420</v>
      </c>
    </row>
    <row r="84" spans="1:4" ht="13.2">
      <c r="A84" s="11"/>
      <c r="B84" s="11"/>
      <c r="C84" s="16" t="s">
        <v>374</v>
      </c>
      <c r="D84" s="11"/>
    </row>
    <row r="85" spans="1:4" ht="13.2">
      <c r="A85" s="11" t="s">
        <v>420</v>
      </c>
      <c r="B85" s="97" t="s">
        <v>420</v>
      </c>
      <c r="D85" s="97" t="s">
        <v>420</v>
      </c>
    </row>
    <row r="86" spans="1:4" ht="13.2">
      <c r="A86" s="11"/>
      <c r="B86" s="12"/>
      <c r="C86" s="11"/>
      <c r="D86" s="11"/>
    </row>
    <row r="87" spans="1:4" ht="13.2">
      <c r="A87" s="11" t="s">
        <v>420</v>
      </c>
      <c r="B87" s="13" t="s">
        <v>420</v>
      </c>
      <c r="C87" s="11"/>
      <c r="D87" s="97" t="s">
        <v>420</v>
      </c>
    </row>
    <row r="88" spans="1:4" ht="13.2">
      <c r="A88" s="11"/>
      <c r="B88" s="12"/>
      <c r="C88" s="11"/>
    </row>
    <row r="89" spans="1:4" ht="13.2">
      <c r="A89" s="11"/>
      <c r="B89" s="12"/>
      <c r="C89" s="11"/>
    </row>
    <row r="90" spans="1:4" ht="13.2">
      <c r="A90" s="11"/>
      <c r="B90" s="12"/>
      <c r="C90" s="11"/>
      <c r="D90" s="11"/>
    </row>
    <row r="91" spans="1:4" ht="13.2">
      <c r="A91" s="11"/>
      <c r="B91" s="12"/>
      <c r="C91" s="11"/>
      <c r="D91" s="11"/>
    </row>
    <row r="92" spans="1:4" ht="13.2">
      <c r="A92" s="11"/>
      <c r="B92" s="12"/>
      <c r="C92" s="11"/>
      <c r="D92" s="13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89"/>
  <sheetViews>
    <sheetView topLeftCell="A55" workbookViewId="0">
      <selection activeCell="F175" sqref="F175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51" customWidth="1"/>
    <col min="4" max="4" width="15.88671875" style="51" customWidth="1"/>
    <col min="5" max="6" width="13.5546875" style="51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52"/>
      <c r="I1" s="51"/>
    </row>
    <row r="2" spans="1:9" ht="15.6">
      <c r="A2" s="49" t="s">
        <v>783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791</v>
      </c>
      <c r="I9" s="51"/>
    </row>
    <row r="10" spans="1:9">
      <c r="A10" s="10"/>
      <c r="B10" s="133" t="s">
        <v>792</v>
      </c>
      <c r="I10" s="51"/>
    </row>
    <row r="11" spans="1:9">
      <c r="A11" s="10"/>
      <c r="B11" s="133" t="s">
        <v>742</v>
      </c>
      <c r="I11" s="51"/>
    </row>
    <row r="12" spans="1:9">
      <c r="A12" s="54"/>
      <c r="B12" s="55" t="s">
        <v>448</v>
      </c>
      <c r="I12" s="51"/>
    </row>
    <row r="13" spans="1:9">
      <c r="A13" s="18"/>
      <c r="B13" s="18" t="s">
        <v>449</v>
      </c>
      <c r="I13" s="51"/>
    </row>
    <row r="14" spans="1:9">
      <c r="A14" s="18"/>
      <c r="B14" s="10" t="s">
        <v>450</v>
      </c>
      <c r="I14" s="51"/>
    </row>
    <row r="15" spans="1:9">
      <c r="A15" s="54"/>
      <c r="B15" s="55" t="s">
        <v>451</v>
      </c>
      <c r="I15" s="51"/>
    </row>
    <row r="16" spans="1:9">
      <c r="A16" s="18"/>
      <c r="B16" s="18" t="s">
        <v>683</v>
      </c>
      <c r="I16" s="51"/>
    </row>
    <row r="17" spans="1:9">
      <c r="A17" s="18"/>
      <c r="B17" s="55" t="s">
        <v>452</v>
      </c>
      <c r="I17" s="51"/>
    </row>
    <row r="18" spans="1:9">
      <c r="A18" s="18"/>
      <c r="B18" s="18" t="s">
        <v>453</v>
      </c>
      <c r="I18" s="51"/>
    </row>
    <row r="19" spans="1:9">
      <c r="A19" s="18"/>
      <c r="B19" s="18" t="s">
        <v>454</v>
      </c>
      <c r="I19" s="51"/>
    </row>
    <row r="20" spans="1:9">
      <c r="A20" s="18"/>
      <c r="B20" s="18" t="s">
        <v>455</v>
      </c>
      <c r="I20" s="51"/>
    </row>
    <row r="21" spans="1:9">
      <c r="A21" s="18"/>
      <c r="B21" s="55" t="s">
        <v>146</v>
      </c>
      <c r="I21" s="51"/>
    </row>
    <row r="22" spans="1:9">
      <c r="A22" s="18"/>
      <c r="B22" s="133" t="s">
        <v>793</v>
      </c>
      <c r="I22" s="51"/>
    </row>
    <row r="23" spans="1:9">
      <c r="A23" s="18"/>
      <c r="B23" s="55" t="s">
        <v>457</v>
      </c>
      <c r="I23" s="51"/>
    </row>
    <row r="24" spans="1:9">
      <c r="A24" s="18"/>
      <c r="B24" s="18" t="s">
        <v>458</v>
      </c>
      <c r="I24" s="51"/>
    </row>
    <row r="25" spans="1:9">
      <c r="A25" s="18"/>
      <c r="B25" s="10" t="s">
        <v>496</v>
      </c>
      <c r="I25" s="51"/>
    </row>
    <row r="26" spans="1:9">
      <c r="A26" s="18"/>
      <c r="B26" s="18" t="s">
        <v>497</v>
      </c>
      <c r="I26" s="51"/>
    </row>
    <row r="27" spans="1:9">
      <c r="A27" s="18"/>
      <c r="B27" s="54" t="s">
        <v>537</v>
      </c>
      <c r="I27" s="51"/>
    </row>
    <row r="28" spans="1:9">
      <c r="A28" s="18"/>
      <c r="B28" s="18" t="s">
        <v>684</v>
      </c>
      <c r="I28" s="51"/>
    </row>
    <row r="29" spans="1:9">
      <c r="A29" s="18"/>
      <c r="B29" s="133" t="s">
        <v>794</v>
      </c>
      <c r="I29" s="51"/>
    </row>
    <row r="30" spans="1:9">
      <c r="A30" s="18"/>
      <c r="B30" s="18" t="s">
        <v>686</v>
      </c>
      <c r="I30" s="51"/>
    </row>
    <row r="31" spans="1:9">
      <c r="A31" s="18"/>
      <c r="B31" s="18"/>
      <c r="I31" s="51"/>
    </row>
    <row r="32" spans="1:9">
      <c r="A32" s="56" t="s">
        <v>459</v>
      </c>
      <c r="B32" s="54" t="s">
        <v>460</v>
      </c>
      <c r="I32" s="51"/>
    </row>
    <row r="33" spans="1:11">
      <c r="A33" s="56"/>
      <c r="B33" s="54"/>
      <c r="E33" s="57"/>
      <c r="I33" s="51"/>
    </row>
    <row r="34" spans="1:11" ht="14.4">
      <c r="A34" s="56"/>
      <c r="B34" s="55" t="s">
        <v>461</v>
      </c>
      <c r="C34" s="58" t="s">
        <v>795</v>
      </c>
      <c r="D34" s="58" t="s">
        <v>675</v>
      </c>
      <c r="I34" s="51"/>
    </row>
    <row r="35" spans="1:11" ht="14.4">
      <c r="A35" s="56"/>
      <c r="B35" s="10" t="s">
        <v>463</v>
      </c>
      <c r="C35" s="151">
        <f>'Saldobalanse 2016'!C136+'Saldobalanse 2016'!C137+'Saldobalanse 2016'!C138+'Saldobalanse 2016'!C145+'Saldobalanse 2016'!C139</f>
        <v>855248.29</v>
      </c>
      <c r="D35" s="152">
        <v>825914.33000000007</v>
      </c>
      <c r="E35" s="65"/>
      <c r="F35" s="65"/>
      <c r="I35" s="51"/>
    </row>
    <row r="36" spans="1:11">
      <c r="A36" s="56"/>
      <c r="B36" s="10" t="s">
        <v>232</v>
      </c>
      <c r="C36" s="152">
        <f>'Saldobalanse 2016'!C146+'Saldobalanse 2016'!C147</f>
        <v>104019.89</v>
      </c>
      <c r="D36" s="152">
        <v>102993.44</v>
      </c>
      <c r="E36" s="65"/>
      <c r="F36" s="65"/>
      <c r="I36" s="51"/>
    </row>
    <row r="37" spans="1:11">
      <c r="A37" s="56"/>
      <c r="B37" s="10" t="s">
        <v>464</v>
      </c>
      <c r="C37" s="152">
        <f>'Saldobalanse 2016'!C151</f>
        <v>8208</v>
      </c>
      <c r="D37" s="152">
        <v>14719</v>
      </c>
      <c r="E37" s="65"/>
      <c r="F37" s="65"/>
      <c r="I37" s="51"/>
    </row>
    <row r="38" spans="1:11">
      <c r="A38" s="56"/>
      <c r="B38" s="10" t="s">
        <v>465</v>
      </c>
      <c r="C38" s="153">
        <f>'Saldobalanse 2016'!C140+'Saldobalanse 2016'!C141+'Saldobalanse 2016'!C142+'Saldobalanse 2016'!C144+'Saldobalanse 2016'!C148+'Saldobalanse 2016'!C149+'Saldobalanse 2016'!C150+'Saldobalanse 2016'!C152+'Saldobalanse 2016'!C143</f>
        <v>18645.190000000002</v>
      </c>
      <c r="D38" s="153">
        <v>17461.55</v>
      </c>
      <c r="E38" s="65"/>
      <c r="F38" s="65"/>
      <c r="I38" s="51"/>
    </row>
    <row r="39" spans="1:11">
      <c r="A39" s="56"/>
      <c r="B39" s="10" t="s">
        <v>466</v>
      </c>
      <c r="C39" s="152">
        <f>SUM(C35:C38)</f>
        <v>986121.37000000011</v>
      </c>
      <c r="D39" s="152">
        <v>961088.32000000007</v>
      </c>
      <c r="E39" s="65"/>
      <c r="F39" s="65"/>
      <c r="H39" s="147"/>
      <c r="I39" s="147"/>
      <c r="J39" s="147"/>
      <c r="K39" s="147"/>
    </row>
    <row r="40" spans="1:11">
      <c r="A40" s="56"/>
      <c r="B40" s="10"/>
      <c r="C40" s="154"/>
      <c r="D40" s="155"/>
      <c r="E40" s="72"/>
      <c r="F40" s="155"/>
      <c r="H40" s="147"/>
      <c r="I40" s="147"/>
      <c r="J40" s="147"/>
      <c r="K40" s="147"/>
    </row>
    <row r="41" spans="1:11">
      <c r="A41" s="56"/>
      <c r="B41" s="138" t="s">
        <v>796</v>
      </c>
      <c r="C41" s="65"/>
      <c r="D41" s="65"/>
      <c r="E41" s="65"/>
      <c r="F41" s="65"/>
      <c r="H41" s="147"/>
      <c r="I41" s="147"/>
      <c r="J41" s="147"/>
      <c r="K41" s="147"/>
    </row>
    <row r="42" spans="1:11">
      <c r="B42" s="66" t="s">
        <v>797</v>
      </c>
      <c r="C42" s="65"/>
      <c r="D42" s="65"/>
      <c r="E42" s="65"/>
      <c r="F42" s="65"/>
      <c r="H42" s="147"/>
      <c r="I42" s="147"/>
      <c r="J42" s="147"/>
      <c r="K42" s="147"/>
    </row>
    <row r="43" spans="1:11">
      <c r="B43" s="133" t="s">
        <v>798</v>
      </c>
      <c r="C43" s="65"/>
      <c r="D43" s="65"/>
      <c r="E43" s="65"/>
      <c r="F43" s="65" t="s">
        <v>374</v>
      </c>
      <c r="H43" s="147"/>
      <c r="I43" s="147"/>
      <c r="J43" s="147"/>
      <c r="K43" s="147"/>
    </row>
    <row r="44" spans="1:11">
      <c r="B44" s="133" t="s">
        <v>823</v>
      </c>
      <c r="C44" s="65"/>
      <c r="D44" s="65"/>
      <c r="E44" s="65"/>
      <c r="F44" s="65"/>
      <c r="H44" s="147"/>
      <c r="I44" s="147"/>
      <c r="J44" s="147"/>
      <c r="K44" s="147"/>
    </row>
    <row r="45" spans="1:11">
      <c r="B45" s="133" t="s">
        <v>824</v>
      </c>
      <c r="C45" s="65"/>
      <c r="D45" s="65"/>
      <c r="E45" s="146"/>
      <c r="F45" s="65"/>
      <c r="H45" s="147"/>
      <c r="I45" s="148"/>
      <c r="J45" s="147"/>
      <c r="K45" s="147"/>
    </row>
    <row r="46" spans="1:11">
      <c r="B46" s="10"/>
      <c r="C46" s="65"/>
      <c r="D46" s="65"/>
      <c r="E46" s="65"/>
      <c r="F46" s="65"/>
      <c r="I46" s="51"/>
    </row>
    <row r="47" spans="1:11">
      <c r="B47" s="10" t="s">
        <v>467</v>
      </c>
      <c r="C47" s="65"/>
      <c r="D47" s="65"/>
      <c r="E47" s="65"/>
      <c r="F47" s="65"/>
      <c r="I47" s="51"/>
    </row>
    <row r="48" spans="1:11">
      <c r="B48" s="10" t="s">
        <v>468</v>
      </c>
      <c r="C48" s="65"/>
      <c r="D48" s="65"/>
      <c r="E48" s="65"/>
      <c r="F48" s="65"/>
      <c r="I48" s="51"/>
    </row>
    <row r="49" spans="1:10">
      <c r="B49" s="10"/>
      <c r="C49" s="65"/>
      <c r="D49" s="65"/>
      <c r="E49" s="65"/>
      <c r="F49" s="65"/>
      <c r="I49" s="51"/>
    </row>
    <row r="50" spans="1:10">
      <c r="B50" s="10"/>
      <c r="C50" s="65"/>
      <c r="D50" s="65"/>
      <c r="E50" s="65"/>
      <c r="F50" s="65"/>
      <c r="I50" s="51"/>
    </row>
    <row r="51" spans="1:10">
      <c r="A51" s="56" t="s">
        <v>469</v>
      </c>
      <c r="B51" s="54" t="s">
        <v>470</v>
      </c>
      <c r="C51" s="157"/>
      <c r="D51" s="157"/>
      <c r="E51" s="157"/>
      <c r="F51" s="72"/>
      <c r="G51" s="57"/>
      <c r="I51" s="51"/>
    </row>
    <row r="52" spans="1:10">
      <c r="A52" s="56"/>
      <c r="B52" s="54"/>
      <c r="C52" s="157"/>
      <c r="D52" s="157"/>
      <c r="E52" s="157"/>
      <c r="F52" s="72"/>
      <c r="G52" s="57"/>
      <c r="I52" s="51"/>
    </row>
    <row r="53" spans="1:10">
      <c r="A53" s="57"/>
      <c r="B53" s="55" t="s">
        <v>508</v>
      </c>
      <c r="C53" s="72"/>
      <c r="D53" s="72"/>
      <c r="E53" s="72"/>
      <c r="F53" s="72"/>
      <c r="G53" s="57"/>
      <c r="I53" s="51"/>
    </row>
    <row r="54" spans="1:10">
      <c r="A54" s="57"/>
      <c r="B54" s="133" t="s">
        <v>799</v>
      </c>
      <c r="C54" s="72"/>
      <c r="D54" s="145">
        <v>1287790</v>
      </c>
      <c r="E54" s="65"/>
      <c r="F54" s="72"/>
      <c r="G54" s="57"/>
      <c r="I54" s="51"/>
    </row>
    <row r="55" spans="1:10">
      <c r="A55" s="57"/>
      <c r="B55" s="10" t="s">
        <v>511</v>
      </c>
      <c r="C55" s="72"/>
      <c r="D55" s="72"/>
      <c r="E55" s="145"/>
      <c r="F55" s="72"/>
      <c r="G55" s="57"/>
      <c r="I55" s="51"/>
    </row>
    <row r="56" spans="1:10">
      <c r="A56" s="57"/>
      <c r="B56" s="57" t="s">
        <v>509</v>
      </c>
      <c r="C56" s="145"/>
      <c r="D56" s="72"/>
      <c r="E56" s="72"/>
      <c r="F56" s="72"/>
      <c r="G56" s="57"/>
      <c r="I56" s="51"/>
    </row>
    <row r="57" spans="1:10">
      <c r="A57" s="57"/>
      <c r="B57" s="10" t="s">
        <v>510</v>
      </c>
      <c r="C57" s="145"/>
      <c r="D57" s="72"/>
      <c r="E57" s="72"/>
      <c r="F57" s="72"/>
      <c r="G57" s="57"/>
      <c r="I57" s="51"/>
    </row>
    <row r="58" spans="1:10">
      <c r="A58" s="57"/>
      <c r="B58" s="10" t="s">
        <v>540</v>
      </c>
      <c r="C58" s="145"/>
      <c r="D58" s="72"/>
      <c r="E58" s="72"/>
      <c r="F58" s="72"/>
      <c r="G58" s="57"/>
      <c r="I58" s="51"/>
    </row>
    <row r="59" spans="1:10">
      <c r="A59" s="57"/>
      <c r="B59" s="138" t="s">
        <v>731</v>
      </c>
      <c r="C59" s="145"/>
      <c r="D59" s="72"/>
      <c r="E59" s="72"/>
      <c r="F59" s="72"/>
      <c r="G59" s="57"/>
      <c r="I59" s="51"/>
    </row>
    <row r="60" spans="1:10">
      <c r="A60" s="57"/>
      <c r="B60" s="138" t="s">
        <v>736</v>
      </c>
      <c r="C60" s="145"/>
      <c r="D60" s="135">
        <v>10943000</v>
      </c>
      <c r="E60" s="72"/>
      <c r="F60" s="72"/>
      <c r="G60" s="57"/>
      <c r="I60" s="51"/>
    </row>
    <row r="61" spans="1:10">
      <c r="A61" s="57"/>
      <c r="B61" s="138" t="s">
        <v>732</v>
      </c>
      <c r="C61" s="145"/>
      <c r="D61" s="135">
        <v>10914000</v>
      </c>
      <c r="E61" s="72"/>
      <c r="F61" s="72"/>
      <c r="G61" s="57"/>
      <c r="I61" s="51"/>
    </row>
    <row r="62" spans="1:10">
      <c r="A62" s="57"/>
      <c r="B62" s="138" t="s">
        <v>733</v>
      </c>
      <c r="C62" s="145"/>
      <c r="D62" s="135">
        <v>1897000</v>
      </c>
      <c r="E62" s="72"/>
      <c r="F62" s="72"/>
      <c r="G62" s="57"/>
      <c r="I62" s="51"/>
    </row>
    <row r="63" spans="1:10">
      <c r="A63" s="57"/>
      <c r="B63" s="138" t="s">
        <v>734</v>
      </c>
      <c r="C63" s="145"/>
      <c r="D63" s="134">
        <v>1047000</v>
      </c>
      <c r="E63" s="72"/>
      <c r="F63" s="72"/>
      <c r="G63" s="57"/>
      <c r="I63" s="51"/>
    </row>
    <row r="64" spans="1:10">
      <c r="A64" s="57"/>
      <c r="B64" s="138" t="s">
        <v>735</v>
      </c>
      <c r="C64" s="145"/>
      <c r="D64" s="158">
        <f>SUM(D60:D63)</f>
        <v>24801000</v>
      </c>
      <c r="E64" s="72"/>
      <c r="F64" s="72"/>
      <c r="G64" s="57"/>
      <c r="I64" s="51"/>
      <c r="J64" s="149" t="s">
        <v>374</v>
      </c>
    </row>
    <row r="65" spans="1:10">
      <c r="A65" s="57"/>
      <c r="B65" s="138"/>
      <c r="C65" s="145"/>
      <c r="D65" s="158"/>
      <c r="E65" s="72"/>
      <c r="F65" s="72"/>
      <c r="G65" s="57"/>
      <c r="I65" s="51"/>
      <c r="J65" s="149"/>
    </row>
    <row r="66" spans="1:10">
      <c r="A66" s="57"/>
      <c r="B66" s="138" t="s">
        <v>825</v>
      </c>
      <c r="C66" s="145"/>
      <c r="D66" s="158"/>
      <c r="E66" s="72"/>
      <c r="F66" s="72"/>
      <c r="G66" s="57"/>
      <c r="I66" s="51"/>
      <c r="J66" s="149"/>
    </row>
    <row r="67" spans="1:10">
      <c r="A67" s="57"/>
      <c r="B67" s="138"/>
      <c r="C67" s="145"/>
      <c r="D67" s="72"/>
      <c r="E67" s="72"/>
      <c r="F67" s="72"/>
      <c r="G67" s="57"/>
      <c r="I67" s="51"/>
    </row>
    <row r="68" spans="1:10">
      <c r="A68" s="57"/>
      <c r="B68" s="55" t="s">
        <v>512</v>
      </c>
      <c r="C68" s="145"/>
      <c r="D68" s="72"/>
      <c r="E68" s="72"/>
      <c r="F68" s="72"/>
      <c r="G68" s="57"/>
      <c r="I68" s="51"/>
    </row>
    <row r="69" spans="1:10">
      <c r="A69" s="57"/>
      <c r="B69" s="133" t="s">
        <v>799</v>
      </c>
      <c r="C69" s="72"/>
      <c r="D69" s="145">
        <v>45000</v>
      </c>
      <c r="E69" s="65"/>
      <c r="F69" s="72"/>
      <c r="G69" s="57"/>
      <c r="I69" s="51"/>
    </row>
    <row r="70" spans="1:10">
      <c r="A70" s="57"/>
      <c r="B70" s="10" t="s">
        <v>541</v>
      </c>
      <c r="C70" s="72"/>
      <c r="D70" s="72"/>
      <c r="E70" s="159"/>
      <c r="F70" s="72"/>
      <c r="G70" s="57"/>
      <c r="I70" s="51"/>
    </row>
    <row r="71" spans="1:10">
      <c r="A71" s="57"/>
      <c r="B71" s="10" t="s">
        <v>540</v>
      </c>
      <c r="C71" s="145"/>
      <c r="D71" s="72"/>
      <c r="E71" s="72"/>
      <c r="F71" s="72"/>
      <c r="G71" s="57"/>
      <c r="I71" s="51"/>
    </row>
    <row r="72" spans="1:10">
      <c r="A72" s="57"/>
      <c r="B72" s="138" t="s">
        <v>821</v>
      </c>
      <c r="C72" s="145"/>
      <c r="D72" s="72"/>
      <c r="E72" s="72"/>
      <c r="F72" s="72"/>
      <c r="G72" s="57"/>
      <c r="I72" s="51"/>
    </row>
    <row r="73" spans="1:10">
      <c r="A73" s="57"/>
      <c r="B73" s="10"/>
      <c r="C73" s="145"/>
      <c r="D73" s="72"/>
      <c r="E73" s="72"/>
      <c r="F73" s="72"/>
      <c r="G73" s="57"/>
      <c r="I73" s="51"/>
    </row>
    <row r="74" spans="1:10">
      <c r="A74" s="57"/>
      <c r="B74" s="55" t="s">
        <v>513</v>
      </c>
      <c r="C74" s="145"/>
      <c r="D74" s="72"/>
      <c r="E74" s="72"/>
      <c r="F74" s="72"/>
      <c r="G74" s="57"/>
      <c r="I74" s="51"/>
    </row>
    <row r="75" spans="1:10">
      <c r="A75" s="57"/>
      <c r="B75" s="10" t="s">
        <v>514</v>
      </c>
      <c r="C75" s="72"/>
      <c r="D75" s="145">
        <v>132876</v>
      </c>
      <c r="E75" s="65"/>
      <c r="F75" s="72"/>
      <c r="G75" s="57"/>
      <c r="I75" s="51"/>
    </row>
    <row r="76" spans="1:10">
      <c r="A76" s="57"/>
      <c r="B76" s="10" t="s">
        <v>472</v>
      </c>
      <c r="C76" s="72"/>
      <c r="D76" s="143">
        <v>-112946</v>
      </c>
      <c r="E76" s="160"/>
      <c r="F76" s="72"/>
      <c r="G76" s="57"/>
      <c r="I76" s="51"/>
    </row>
    <row r="77" spans="1:10">
      <c r="A77" s="57"/>
      <c r="B77" s="10" t="s">
        <v>505</v>
      </c>
      <c r="C77" s="72"/>
      <c r="D77" s="144">
        <v>-19930</v>
      </c>
      <c r="E77" s="160" t="s">
        <v>374</v>
      </c>
      <c r="F77" s="72"/>
      <c r="G77" s="57"/>
      <c r="I77" s="51" t="s">
        <v>374</v>
      </c>
    </row>
    <row r="78" spans="1:10">
      <c r="A78" s="57"/>
      <c r="B78" s="133" t="s">
        <v>799</v>
      </c>
      <c r="C78" s="72"/>
      <c r="D78" s="145">
        <f>SUM(D75:D77)</f>
        <v>0</v>
      </c>
      <c r="E78" s="65"/>
      <c r="F78" s="72"/>
      <c r="G78" s="57"/>
      <c r="I78" s="51"/>
    </row>
    <row r="79" spans="1:10">
      <c r="A79" s="57"/>
      <c r="B79" s="57" t="s">
        <v>515</v>
      </c>
      <c r="C79" s="145"/>
      <c r="D79" s="72"/>
      <c r="E79" s="65"/>
      <c r="F79" s="72"/>
      <c r="G79" s="57"/>
      <c r="I79" s="51"/>
    </row>
    <row r="80" spans="1:10">
      <c r="A80" s="57"/>
      <c r="B80" s="57"/>
      <c r="C80" s="145"/>
      <c r="D80" s="72"/>
      <c r="E80" s="65"/>
      <c r="F80" s="72"/>
      <c r="G80" s="57"/>
      <c r="I80" s="51"/>
    </row>
    <row r="81" spans="1:9">
      <c r="A81" s="57"/>
      <c r="B81" s="57"/>
      <c r="C81" s="145"/>
      <c r="D81" s="72"/>
      <c r="E81" s="65"/>
      <c r="F81" s="72"/>
      <c r="G81" s="57"/>
      <c r="I81" s="51"/>
    </row>
    <row r="82" spans="1:9">
      <c r="A82" s="70" t="s">
        <v>474</v>
      </c>
      <c r="B82" s="70" t="s">
        <v>523</v>
      </c>
      <c r="C82" s="145"/>
      <c r="D82" s="72"/>
      <c r="E82" s="65"/>
      <c r="F82" s="72"/>
      <c r="G82" s="57"/>
      <c r="I82" s="51"/>
    </row>
    <row r="83" spans="1:9">
      <c r="A83" s="57"/>
      <c r="B83" s="10"/>
      <c r="C83" s="145"/>
      <c r="D83" s="72"/>
      <c r="E83" s="65"/>
      <c r="F83" s="72"/>
      <c r="G83" s="57"/>
      <c r="I83" s="51"/>
    </row>
    <row r="84" spans="1:9">
      <c r="A84" s="57"/>
      <c r="B84" s="54" t="s">
        <v>716</v>
      </c>
      <c r="C84" s="145"/>
      <c r="D84" s="158"/>
      <c r="E84" s="65"/>
      <c r="F84" s="72"/>
      <c r="G84" s="57"/>
      <c r="I84" s="51"/>
    </row>
    <row r="85" spans="1:9">
      <c r="A85" s="57"/>
      <c r="B85" s="133" t="s">
        <v>719</v>
      </c>
      <c r="C85" s="145"/>
      <c r="D85" s="158">
        <v>21894</v>
      </c>
      <c r="E85" s="65"/>
      <c r="F85" s="72"/>
      <c r="G85" s="57"/>
      <c r="I85" s="51"/>
    </row>
    <row r="86" spans="1:9">
      <c r="A86" s="57"/>
      <c r="B86" s="133" t="s">
        <v>801</v>
      </c>
      <c r="C86" s="145"/>
      <c r="D86" s="158">
        <v>-1094</v>
      </c>
      <c r="E86" s="65"/>
      <c r="F86" s="72"/>
      <c r="G86" s="57"/>
      <c r="I86" s="51"/>
    </row>
    <row r="87" spans="1:9">
      <c r="A87" s="57"/>
      <c r="B87" s="133" t="s">
        <v>721</v>
      </c>
      <c r="C87" s="145"/>
      <c r="D87" s="161">
        <v>-1539</v>
      </c>
      <c r="E87" s="65"/>
      <c r="F87" s="72"/>
      <c r="G87" s="57"/>
      <c r="I87" s="51"/>
    </row>
    <row r="88" spans="1:9">
      <c r="A88" s="57"/>
      <c r="B88" s="133" t="s">
        <v>799</v>
      </c>
      <c r="C88" s="145"/>
      <c r="D88" s="158">
        <f>SUM(D85:D87)</f>
        <v>19261</v>
      </c>
      <c r="E88" s="65"/>
      <c r="F88" s="72"/>
      <c r="G88" s="57"/>
      <c r="I88" s="51"/>
    </row>
    <row r="89" spans="1:9">
      <c r="A89" s="57"/>
      <c r="B89" s="133" t="s">
        <v>717</v>
      </c>
      <c r="C89" s="145"/>
      <c r="D89" s="72"/>
      <c r="E89" s="162"/>
      <c r="F89" s="72"/>
      <c r="G89" s="57"/>
      <c r="I89" s="51"/>
    </row>
    <row r="90" spans="1:9">
      <c r="A90" s="57"/>
      <c r="B90" s="10"/>
      <c r="C90" s="145"/>
      <c r="D90" s="72"/>
      <c r="E90" s="72"/>
      <c r="F90" s="72"/>
      <c r="G90" s="57"/>
      <c r="I90" s="51"/>
    </row>
    <row r="91" spans="1:9">
      <c r="A91" s="57"/>
      <c r="B91" s="54" t="s">
        <v>718</v>
      </c>
      <c r="C91" s="145"/>
      <c r="D91" s="72"/>
      <c r="E91" s="72"/>
      <c r="F91" s="72"/>
      <c r="G91" s="57"/>
      <c r="I91" s="51"/>
    </row>
    <row r="92" spans="1:9">
      <c r="A92" s="57"/>
      <c r="B92" s="133" t="s">
        <v>720</v>
      </c>
      <c r="C92" s="145"/>
      <c r="D92" s="135">
        <v>75000</v>
      </c>
      <c r="E92" s="72"/>
      <c r="F92" s="72"/>
      <c r="G92" s="57"/>
      <c r="I92" s="51"/>
    </row>
    <row r="93" spans="1:9">
      <c r="A93" s="57"/>
      <c r="B93" s="133" t="s">
        <v>800</v>
      </c>
      <c r="C93" s="145"/>
      <c r="D93" s="135">
        <v>-2500</v>
      </c>
      <c r="E93" s="72"/>
      <c r="F93" s="72"/>
      <c r="G93" s="57"/>
      <c r="I93" s="51"/>
    </row>
    <row r="94" spans="1:9">
      <c r="A94" s="57"/>
      <c r="B94" s="133" t="s">
        <v>721</v>
      </c>
      <c r="C94" s="145"/>
      <c r="D94" s="134">
        <v>-15000</v>
      </c>
      <c r="E94" s="72"/>
      <c r="F94" s="72"/>
      <c r="G94" s="57"/>
      <c r="I94" s="51"/>
    </row>
    <row r="95" spans="1:9">
      <c r="A95" s="57"/>
      <c r="B95" s="133" t="s">
        <v>799</v>
      </c>
      <c r="C95" s="145"/>
      <c r="D95" s="135">
        <f>SUM(D92:D94)</f>
        <v>57500</v>
      </c>
      <c r="E95" s="72"/>
      <c r="F95" s="72"/>
      <c r="G95" s="57"/>
      <c r="I95" s="51"/>
    </row>
    <row r="96" spans="1:9">
      <c r="A96" s="57"/>
      <c r="B96" s="133" t="s">
        <v>722</v>
      </c>
      <c r="C96" s="145"/>
      <c r="D96" s="72"/>
      <c r="E96" s="72"/>
      <c r="F96" s="72"/>
      <c r="G96" s="57"/>
      <c r="I96" s="51"/>
    </row>
    <row r="97" spans="1:9">
      <c r="A97" s="57"/>
      <c r="B97" s="10"/>
      <c r="C97" s="145"/>
      <c r="D97" s="72"/>
      <c r="E97" s="72"/>
      <c r="F97" s="72"/>
      <c r="G97" s="57"/>
      <c r="I97" s="51"/>
    </row>
    <row r="98" spans="1:9">
      <c r="A98" s="57"/>
      <c r="B98" s="54" t="s">
        <v>723</v>
      </c>
      <c r="C98" s="145"/>
      <c r="D98" s="72"/>
      <c r="E98" s="72"/>
      <c r="F98" s="72"/>
      <c r="G98" s="57"/>
      <c r="I98" s="51"/>
    </row>
    <row r="99" spans="1:9">
      <c r="A99" s="57"/>
      <c r="B99" s="133" t="s">
        <v>802</v>
      </c>
      <c r="C99" s="145"/>
      <c r="D99" s="135">
        <v>183774.94</v>
      </c>
      <c r="E99" s="72"/>
      <c r="F99" s="72"/>
      <c r="G99" s="57"/>
      <c r="I99" s="51"/>
    </row>
    <row r="100" spans="1:9">
      <c r="A100" s="57"/>
      <c r="B100" s="133" t="s">
        <v>724</v>
      </c>
      <c r="C100" s="145"/>
      <c r="D100" s="135">
        <v>-60000</v>
      </c>
      <c r="E100" s="72"/>
      <c r="F100" s="72"/>
      <c r="G100" s="57"/>
      <c r="I100" s="51"/>
    </row>
    <row r="101" spans="1:9">
      <c r="A101" s="57"/>
      <c r="B101" s="133" t="s">
        <v>801</v>
      </c>
      <c r="C101" s="145"/>
      <c r="D101" s="203">
        <v>-6194.94</v>
      </c>
      <c r="E101" s="72"/>
      <c r="F101" s="72"/>
      <c r="G101" s="57"/>
      <c r="I101" s="51"/>
    </row>
    <row r="102" spans="1:9">
      <c r="A102" s="57"/>
      <c r="B102" s="133" t="s">
        <v>721</v>
      </c>
      <c r="C102" s="145"/>
      <c r="D102" s="134">
        <v>-24756</v>
      </c>
      <c r="E102" s="72"/>
      <c r="F102" s="72"/>
      <c r="G102" s="57"/>
      <c r="I102" s="51"/>
    </row>
    <row r="103" spans="1:9">
      <c r="A103" s="57"/>
      <c r="B103" s="133" t="s">
        <v>799</v>
      </c>
      <c r="C103" s="145"/>
      <c r="D103" s="135">
        <f>SUM(D99:D102)</f>
        <v>92824</v>
      </c>
      <c r="E103" s="72"/>
      <c r="F103" s="72"/>
      <c r="G103" s="57"/>
      <c r="I103" s="51"/>
    </row>
    <row r="104" spans="1:9">
      <c r="A104" s="57"/>
      <c r="B104" s="133" t="s">
        <v>725</v>
      </c>
      <c r="C104" s="145"/>
      <c r="D104" s="72"/>
      <c r="E104" s="72"/>
      <c r="F104" s="72"/>
      <c r="G104" s="57"/>
      <c r="I104" s="51"/>
    </row>
    <row r="105" spans="1:9">
      <c r="A105" s="57"/>
      <c r="B105" s="10"/>
      <c r="C105" s="145"/>
      <c r="D105" s="72"/>
      <c r="E105" s="72"/>
      <c r="F105" s="72"/>
      <c r="G105" s="57"/>
      <c r="I105" s="51"/>
    </row>
    <row r="106" spans="1:9">
      <c r="A106" s="57"/>
      <c r="B106" s="10"/>
      <c r="C106" s="145"/>
      <c r="D106" s="72"/>
      <c r="E106" s="72"/>
      <c r="F106" s="72"/>
      <c r="G106" s="57"/>
      <c r="I106" s="51"/>
    </row>
    <row r="107" spans="1:9">
      <c r="A107" s="70" t="s">
        <v>475</v>
      </c>
      <c r="B107" s="54" t="s">
        <v>476</v>
      </c>
      <c r="C107" s="65"/>
      <c r="D107" s="65"/>
      <c r="E107" s="65"/>
      <c r="F107" s="65"/>
    </row>
    <row r="108" spans="1:9">
      <c r="A108" s="57"/>
      <c r="B108" s="133" t="s">
        <v>803</v>
      </c>
      <c r="C108" s="65"/>
      <c r="D108" s="65"/>
      <c r="E108" s="65"/>
      <c r="F108" s="65"/>
    </row>
    <row r="109" spans="1:9">
      <c r="A109" s="57"/>
      <c r="B109" s="133" t="s">
        <v>804</v>
      </c>
      <c r="C109" s="65"/>
      <c r="D109" s="65"/>
      <c r="E109" s="65"/>
      <c r="F109" s="65"/>
    </row>
    <row r="110" spans="1:9">
      <c r="B110" s="10"/>
      <c r="C110" s="65"/>
      <c r="D110" s="65"/>
      <c r="E110" s="65"/>
      <c r="F110" s="65"/>
    </row>
    <row r="111" spans="1:9">
      <c r="B111" s="10"/>
      <c r="C111" s="65"/>
      <c r="D111" s="65"/>
      <c r="E111" s="65"/>
      <c r="F111" s="65"/>
    </row>
    <row r="112" spans="1:9">
      <c r="A112" s="71" t="s">
        <v>477</v>
      </c>
      <c r="B112" s="54" t="s">
        <v>478</v>
      </c>
      <c r="C112" s="65"/>
      <c r="D112" s="65"/>
      <c r="E112" s="65"/>
      <c r="F112" s="65"/>
    </row>
    <row r="113" spans="1:9">
      <c r="B113" s="57" t="s">
        <v>527</v>
      </c>
      <c r="C113" s="163" t="s">
        <v>805</v>
      </c>
      <c r="D113" s="164" t="s">
        <v>534</v>
      </c>
      <c r="E113" s="165" t="s">
        <v>806</v>
      </c>
      <c r="F113" s="72"/>
      <c r="I113" s="51"/>
    </row>
    <row r="114" spans="1:9">
      <c r="B114" s="57" t="s">
        <v>528</v>
      </c>
      <c r="C114" s="158">
        <v>-541013.30000000005</v>
      </c>
      <c r="D114" s="158"/>
      <c r="E114" s="166">
        <f>C114</f>
        <v>-541013.30000000005</v>
      </c>
      <c r="F114" s="72"/>
      <c r="I114" s="51"/>
    </row>
    <row r="115" spans="1:9">
      <c r="B115" s="73" t="s">
        <v>126</v>
      </c>
      <c r="C115" s="161">
        <v>-96296.55</v>
      </c>
      <c r="D115" s="161"/>
      <c r="E115" s="167">
        <f>C115</f>
        <v>-96296.55</v>
      </c>
      <c r="F115" s="72"/>
      <c r="I115" s="51"/>
    </row>
    <row r="116" spans="1:9">
      <c r="B116" s="73"/>
      <c r="C116" s="158"/>
      <c r="D116" s="158"/>
      <c r="E116" s="168"/>
      <c r="F116" s="72"/>
      <c r="I116" s="51"/>
    </row>
    <row r="117" spans="1:9">
      <c r="B117" s="73" t="s">
        <v>531</v>
      </c>
      <c r="C117" s="158">
        <f>SUM(C114:C116)</f>
        <v>-637309.85000000009</v>
      </c>
      <c r="D117" s="158">
        <f>SUM(D114:D116)</f>
        <v>0</v>
      </c>
      <c r="E117" s="166">
        <f>SUM(E113:E116)</f>
        <v>-637309.85000000009</v>
      </c>
      <c r="F117" s="72" t="s">
        <v>374</v>
      </c>
      <c r="I117" s="51"/>
    </row>
    <row r="118" spans="1:9">
      <c r="B118" t="s">
        <v>374</v>
      </c>
      <c r="C118" s="169" t="s">
        <v>374</v>
      </c>
      <c r="D118" s="65"/>
      <c r="E118" s="72"/>
      <c r="F118" s="72"/>
      <c r="I118" s="51"/>
    </row>
    <row r="119" spans="1:9">
      <c r="C119" s="91" t="s">
        <v>805</v>
      </c>
      <c r="D119" s="91" t="s">
        <v>532</v>
      </c>
      <c r="E119" s="163" t="s">
        <v>806</v>
      </c>
      <c r="F119" s="72"/>
      <c r="I119" s="51"/>
    </row>
    <row r="120" spans="1:9">
      <c r="B120" s="73" t="s">
        <v>432</v>
      </c>
      <c r="C120" s="136">
        <v>-636737.78</v>
      </c>
      <c r="D120" s="136">
        <f>E175</f>
        <v>-321391.81999999995</v>
      </c>
      <c r="E120" s="136">
        <f>SUM(C120:D120)</f>
        <v>-958129.6</v>
      </c>
      <c r="F120" s="72"/>
      <c r="I120" s="51"/>
    </row>
    <row r="121" spans="1:9">
      <c r="B121"/>
      <c r="C121" s="137"/>
      <c r="D121" s="137"/>
      <c r="E121" s="137"/>
      <c r="F121" s="72"/>
      <c r="G121" s="65"/>
      <c r="H121" s="65"/>
    </row>
    <row r="122" spans="1:9">
      <c r="B122" s="46" t="s">
        <v>533</v>
      </c>
      <c r="C122" s="137">
        <f t="shared" ref="C122:D122" si="0">C117+C120</f>
        <v>-1274047.6300000001</v>
      </c>
      <c r="D122" s="137">
        <f t="shared" si="0"/>
        <v>-321391.81999999995</v>
      </c>
      <c r="E122" s="137">
        <f>E117+E120</f>
        <v>-1595439.4500000002</v>
      </c>
      <c r="F122" s="72"/>
      <c r="G122" s="65"/>
      <c r="H122" s="65"/>
    </row>
    <row r="123" spans="1:9">
      <c r="B123" s="46"/>
      <c r="C123" s="137"/>
      <c r="D123" s="137"/>
      <c r="E123" s="137"/>
      <c r="F123" s="72"/>
      <c r="G123" s="65"/>
      <c r="H123" s="65"/>
    </row>
    <row r="124" spans="1:9">
      <c r="A124" s="57"/>
      <c r="B124" s="10"/>
      <c r="C124" s="57"/>
      <c r="D124" s="57"/>
      <c r="E124" s="57"/>
      <c r="F124" s="67"/>
      <c r="G124" s="57"/>
      <c r="H124" s="57"/>
      <c r="I124" s="51"/>
    </row>
    <row r="125" spans="1:9">
      <c r="A125" s="149" t="s">
        <v>810</v>
      </c>
    </row>
    <row r="126" spans="1:9">
      <c r="A126" s="149" t="s">
        <v>760</v>
      </c>
    </row>
    <row r="127" spans="1:9">
      <c r="A127" s="149" t="s">
        <v>761</v>
      </c>
    </row>
    <row r="129" spans="1:18">
      <c r="A129" s="387" t="s">
        <v>757</v>
      </c>
      <c r="B129" s="387" t="s">
        <v>1</v>
      </c>
      <c r="C129" s="387" t="s">
        <v>808</v>
      </c>
      <c r="D129" s="389" t="s">
        <v>755</v>
      </c>
      <c r="E129" s="391" t="s">
        <v>809</v>
      </c>
      <c r="F129" s="387" t="s">
        <v>807</v>
      </c>
    </row>
    <row r="130" spans="1:18" ht="13.8" thickBot="1">
      <c r="A130" s="388"/>
      <c r="B130" s="388"/>
      <c r="C130" s="388"/>
      <c r="D130" s="390"/>
      <c r="E130" s="392"/>
      <c r="F130" s="388"/>
    </row>
    <row r="131" spans="1:18">
      <c r="A131" s="186">
        <v>2001</v>
      </c>
      <c r="B131" s="187" t="s">
        <v>566</v>
      </c>
      <c r="C131" s="269">
        <v>-25011.1</v>
      </c>
      <c r="D131" s="188">
        <v>0</v>
      </c>
      <c r="E131" s="271">
        <v>2136</v>
      </c>
      <c r="F131" s="190">
        <f>SUM(C131:E131)</f>
        <v>-22875.1</v>
      </c>
    </row>
    <row r="132" spans="1:18">
      <c r="A132" s="191">
        <v>2002</v>
      </c>
      <c r="B132" s="182" t="s">
        <v>58</v>
      </c>
      <c r="C132" s="270">
        <v>21952.36</v>
      </c>
      <c r="D132" s="183">
        <v>0</v>
      </c>
      <c r="E132" s="272">
        <v>-3406.5</v>
      </c>
      <c r="F132" s="192">
        <f t="shared" ref="F132:F174" si="1">SUM(C132:E132)</f>
        <v>18545.86</v>
      </c>
    </row>
    <row r="133" spans="1:18">
      <c r="A133" s="191">
        <v>2003</v>
      </c>
      <c r="B133" s="182" t="s">
        <v>60</v>
      </c>
      <c r="C133" s="270">
        <v>-10064.82</v>
      </c>
      <c r="D133" s="183">
        <v>0</v>
      </c>
      <c r="E133" s="272">
        <v>-54184.89</v>
      </c>
      <c r="F133" s="192">
        <f t="shared" si="1"/>
        <v>-64249.71</v>
      </c>
    </row>
    <row r="134" spans="1:18">
      <c r="A134" s="191">
        <v>2004</v>
      </c>
      <c r="B134" s="182" t="s">
        <v>62</v>
      </c>
      <c r="C134" s="270">
        <v>-38705.99</v>
      </c>
      <c r="D134" s="183">
        <v>0</v>
      </c>
      <c r="E134" s="272">
        <v>-20194</v>
      </c>
      <c r="F134" s="192">
        <f t="shared" si="1"/>
        <v>-58899.99</v>
      </c>
    </row>
    <row r="135" spans="1:18">
      <c r="A135" s="191">
        <v>2005</v>
      </c>
      <c r="B135" s="182" t="s">
        <v>64</v>
      </c>
      <c r="C135" s="270">
        <v>13797.27</v>
      </c>
      <c r="D135" s="183">
        <v>0</v>
      </c>
      <c r="E135" s="272">
        <v>-347.56</v>
      </c>
      <c r="F135" s="192">
        <f t="shared" si="1"/>
        <v>13449.710000000001</v>
      </c>
    </row>
    <row r="136" spans="1:18">
      <c r="A136" s="191">
        <v>2006</v>
      </c>
      <c r="B136" s="182" t="s">
        <v>66</v>
      </c>
      <c r="C136" s="270">
        <v>-21674.89</v>
      </c>
      <c r="D136" s="183">
        <v>0</v>
      </c>
      <c r="E136" s="272">
        <v>-14038.73</v>
      </c>
      <c r="F136" s="192">
        <f t="shared" si="1"/>
        <v>-35713.619999999995</v>
      </c>
      <c r="R136" s="65"/>
    </row>
    <row r="137" spans="1:18">
      <c r="A137" s="191">
        <v>2007</v>
      </c>
      <c r="B137" s="182" t="s">
        <v>68</v>
      </c>
      <c r="C137" s="270">
        <v>-42281.9</v>
      </c>
      <c r="D137" s="183">
        <v>0</v>
      </c>
      <c r="E137" s="272">
        <v>3614.97</v>
      </c>
      <c r="F137" s="192">
        <f t="shared" si="1"/>
        <v>-38666.93</v>
      </c>
    </row>
    <row r="138" spans="1:18">
      <c r="A138" s="191">
        <v>2008</v>
      </c>
      <c r="B138" s="182" t="s">
        <v>70</v>
      </c>
      <c r="C138" s="270">
        <v>36736.949999999997</v>
      </c>
      <c r="D138" s="183">
        <v>0</v>
      </c>
      <c r="E138" s="272">
        <v>-238.33</v>
      </c>
      <c r="F138" s="192">
        <f t="shared" si="1"/>
        <v>36498.619999999995</v>
      </c>
    </row>
    <row r="139" spans="1:18">
      <c r="A139" s="191">
        <v>2009</v>
      </c>
      <c r="B139" s="268" t="s">
        <v>567</v>
      </c>
      <c r="C139" s="270">
        <v>-66490.600000000006</v>
      </c>
      <c r="D139" s="183">
        <v>0</v>
      </c>
      <c r="E139" s="272">
        <v>60043.15</v>
      </c>
      <c r="F139" s="192">
        <f t="shared" si="1"/>
        <v>-6447.4500000000044</v>
      </c>
    </row>
    <row r="140" spans="1:18">
      <c r="A140" s="191">
        <v>2010</v>
      </c>
      <c r="B140" s="182" t="s">
        <v>74</v>
      </c>
      <c r="C140" s="270">
        <v>44185.4</v>
      </c>
      <c r="D140" s="183">
        <v>0</v>
      </c>
      <c r="E140" s="272">
        <v>-47395.46</v>
      </c>
      <c r="F140" s="192">
        <f t="shared" si="1"/>
        <v>-3210.0599999999977</v>
      </c>
    </row>
    <row r="141" spans="1:18">
      <c r="A141" s="191">
        <v>2011</v>
      </c>
      <c r="B141" s="182" t="s">
        <v>76</v>
      </c>
      <c r="C141" s="270">
        <v>-5165.8999999999996</v>
      </c>
      <c r="D141" s="183">
        <v>0</v>
      </c>
      <c r="E141" s="272">
        <v>548.76</v>
      </c>
      <c r="F141" s="192">
        <f t="shared" si="1"/>
        <v>-4617.1399999999994</v>
      </c>
    </row>
    <row r="142" spans="1:18">
      <c r="A142" s="191">
        <v>2012</v>
      </c>
      <c r="B142" s="182" t="s">
        <v>78</v>
      </c>
      <c r="C142" s="270">
        <v>13357</v>
      </c>
      <c r="D142" s="183">
        <v>8799</v>
      </c>
      <c r="E142" s="272">
        <v>-6457.1</v>
      </c>
      <c r="F142" s="192">
        <f t="shared" si="1"/>
        <v>15698.9</v>
      </c>
    </row>
    <row r="143" spans="1:18">
      <c r="A143" s="191">
        <v>2013</v>
      </c>
      <c r="B143" s="182" t="s">
        <v>80</v>
      </c>
      <c r="C143" s="270">
        <v>100948.76</v>
      </c>
      <c r="D143" s="183">
        <v>0</v>
      </c>
      <c r="E143" s="272">
        <v>2549.84</v>
      </c>
      <c r="F143" s="192">
        <f t="shared" si="1"/>
        <v>103498.59999999999</v>
      </c>
    </row>
    <row r="144" spans="1:18">
      <c r="A144" s="191">
        <v>2014</v>
      </c>
      <c r="B144" s="182" t="s">
        <v>82</v>
      </c>
      <c r="C144" s="270">
        <v>-13498.65</v>
      </c>
      <c r="D144" s="183">
        <v>0</v>
      </c>
      <c r="E144" s="272">
        <v>-2600</v>
      </c>
      <c r="F144" s="192">
        <f t="shared" si="1"/>
        <v>-16098.65</v>
      </c>
    </row>
    <row r="145" spans="1:6">
      <c r="A145" s="191">
        <v>2015</v>
      </c>
      <c r="B145" s="182" t="s">
        <v>84</v>
      </c>
      <c r="C145" s="270">
        <v>10880.34</v>
      </c>
      <c r="D145" s="183">
        <v>0</v>
      </c>
      <c r="E145" s="272">
        <v>-2935.31</v>
      </c>
      <c r="F145" s="192">
        <f t="shared" si="1"/>
        <v>7945.0300000000007</v>
      </c>
    </row>
    <row r="146" spans="1:6">
      <c r="A146" s="191">
        <v>2016</v>
      </c>
      <c r="B146" s="182" t="s">
        <v>86</v>
      </c>
      <c r="C146" s="270">
        <v>-7724.51</v>
      </c>
      <c r="D146" s="183">
        <v>-9698</v>
      </c>
      <c r="E146" s="272">
        <v>-23493.87</v>
      </c>
      <c r="F146" s="192">
        <f t="shared" si="1"/>
        <v>-40916.380000000005</v>
      </c>
    </row>
    <row r="147" spans="1:6">
      <c r="A147" s="191">
        <v>2017</v>
      </c>
      <c r="B147" s="182" t="s">
        <v>88</v>
      </c>
      <c r="C147" s="270">
        <v>55148.94</v>
      </c>
      <c r="D147" s="183">
        <v>0</v>
      </c>
      <c r="E147" s="272">
        <v>-25281.8</v>
      </c>
      <c r="F147" s="192">
        <f t="shared" si="1"/>
        <v>29867.140000000003</v>
      </c>
    </row>
    <row r="148" spans="1:6">
      <c r="A148" s="191">
        <v>2018</v>
      </c>
      <c r="B148" s="182" t="s">
        <v>90</v>
      </c>
      <c r="C148" s="270">
        <v>-2007.08</v>
      </c>
      <c r="D148" s="183">
        <v>-0.92</v>
      </c>
      <c r="E148" s="272">
        <v>-23614.95</v>
      </c>
      <c r="F148" s="192">
        <f t="shared" si="1"/>
        <v>-25622.95</v>
      </c>
    </row>
    <row r="149" spans="1:6">
      <c r="A149" s="191">
        <v>2019</v>
      </c>
      <c r="B149" s="182" t="s">
        <v>811</v>
      </c>
      <c r="C149" s="270">
        <v>22415.919999999998</v>
      </c>
      <c r="D149" s="183">
        <v>0</v>
      </c>
      <c r="E149" s="272">
        <f>-14736+2850</f>
        <v>-11886</v>
      </c>
      <c r="F149" s="192">
        <f t="shared" si="1"/>
        <v>10529.919999999998</v>
      </c>
    </row>
    <row r="150" spans="1:6">
      <c r="A150" s="191">
        <v>2020</v>
      </c>
      <c r="B150" s="182" t="s">
        <v>94</v>
      </c>
      <c r="C150" s="270">
        <v>-19746.060000000001</v>
      </c>
      <c r="D150" s="183">
        <v>0</v>
      </c>
      <c r="E150" s="272">
        <v>14636</v>
      </c>
      <c r="F150" s="192">
        <f t="shared" si="1"/>
        <v>-5110.0600000000013</v>
      </c>
    </row>
    <row r="151" spans="1:6">
      <c r="A151" s="191">
        <v>2024</v>
      </c>
      <c r="B151" s="182" t="s">
        <v>96</v>
      </c>
      <c r="C151" s="270">
        <v>-117637.53</v>
      </c>
      <c r="D151" s="183">
        <v>0</v>
      </c>
      <c r="E151" s="272">
        <v>65676.56</v>
      </c>
      <c r="F151" s="192">
        <f t="shared" si="1"/>
        <v>-51960.97</v>
      </c>
    </row>
    <row r="152" spans="1:6">
      <c r="A152" s="191">
        <v>2025</v>
      </c>
      <c r="B152" s="182" t="s">
        <v>98</v>
      </c>
      <c r="C152" s="270">
        <v>-1021.61</v>
      </c>
      <c r="D152" s="183">
        <v>0</v>
      </c>
      <c r="E152" s="272">
        <v>0</v>
      </c>
      <c r="F152" s="192">
        <f t="shared" si="1"/>
        <v>-1021.61</v>
      </c>
    </row>
    <row r="153" spans="1:6">
      <c r="A153" s="191">
        <v>2026</v>
      </c>
      <c r="B153" s="182" t="s">
        <v>100</v>
      </c>
      <c r="C153" s="270">
        <v>-13919.65</v>
      </c>
      <c r="D153" s="183">
        <v>0</v>
      </c>
      <c r="E153" s="272">
        <v>0</v>
      </c>
      <c r="F153" s="192">
        <f t="shared" si="1"/>
        <v>-13919.65</v>
      </c>
    </row>
    <row r="154" spans="1:6">
      <c r="A154" s="191">
        <v>2027</v>
      </c>
      <c r="B154" s="182" t="s">
        <v>102</v>
      </c>
      <c r="C154" s="270">
        <v>-5003.6100000000006</v>
      </c>
      <c r="D154" s="183">
        <v>-0.39</v>
      </c>
      <c r="E154" s="272">
        <v>18949.14</v>
      </c>
      <c r="F154" s="192">
        <f t="shared" si="1"/>
        <v>13945.14</v>
      </c>
    </row>
    <row r="155" spans="1:6">
      <c r="A155" s="191">
        <v>2028</v>
      </c>
      <c r="B155" s="182" t="s">
        <v>569</v>
      </c>
      <c r="C155" s="270">
        <v>-29902.03</v>
      </c>
      <c r="D155" s="183">
        <v>0</v>
      </c>
      <c r="E155" s="272">
        <v>7876.76</v>
      </c>
      <c r="F155" s="192">
        <f t="shared" si="1"/>
        <v>-22025.269999999997</v>
      </c>
    </row>
    <row r="156" spans="1:6">
      <c r="A156" s="191">
        <v>2029</v>
      </c>
      <c r="B156" s="182" t="s">
        <v>106</v>
      </c>
      <c r="C156" s="270">
        <v>1160.43</v>
      </c>
      <c r="D156" s="183">
        <v>0</v>
      </c>
      <c r="E156" s="272">
        <v>10384.290000000001</v>
      </c>
      <c r="F156" s="192">
        <f t="shared" si="1"/>
        <v>11544.720000000001</v>
      </c>
    </row>
    <row r="157" spans="1:6">
      <c r="A157" s="191">
        <v>2030</v>
      </c>
      <c r="B157" s="182" t="s">
        <v>108</v>
      </c>
      <c r="C157" s="270">
        <v>-42303.86</v>
      </c>
      <c r="D157" s="183">
        <v>0</v>
      </c>
      <c r="E157" s="272">
        <v>-13200</v>
      </c>
      <c r="F157" s="192">
        <f t="shared" si="1"/>
        <v>-55503.86</v>
      </c>
    </row>
    <row r="158" spans="1:6">
      <c r="A158" s="191">
        <v>2031</v>
      </c>
      <c r="B158" s="182" t="s">
        <v>570</v>
      </c>
      <c r="C158" s="270">
        <v>-147525.57999999999</v>
      </c>
      <c r="D158" s="183">
        <v>0</v>
      </c>
      <c r="E158" s="272">
        <v>-84538.32</v>
      </c>
      <c r="F158" s="192">
        <f t="shared" si="1"/>
        <v>-232063.9</v>
      </c>
    </row>
    <row r="159" spans="1:6">
      <c r="A159" s="191">
        <v>2032</v>
      </c>
      <c r="B159" s="182" t="s">
        <v>112</v>
      </c>
      <c r="C159" s="270">
        <v>-5748.48</v>
      </c>
      <c r="D159" s="183">
        <v>0</v>
      </c>
      <c r="E159" s="272">
        <v>1039.98</v>
      </c>
      <c r="F159" s="192">
        <f t="shared" si="1"/>
        <v>-4708.5</v>
      </c>
    </row>
    <row r="160" spans="1:6">
      <c r="A160" s="191">
        <v>2034</v>
      </c>
      <c r="B160" s="182" t="s">
        <v>114</v>
      </c>
      <c r="C160" s="270">
        <v>-40442.97</v>
      </c>
      <c r="D160" s="183">
        <v>0</v>
      </c>
      <c r="E160" s="272">
        <v>2351.04</v>
      </c>
      <c r="F160" s="192">
        <f t="shared" si="1"/>
        <v>-38091.93</v>
      </c>
    </row>
    <row r="161" spans="1:6">
      <c r="A161" s="191">
        <v>2035</v>
      </c>
      <c r="B161" s="182" t="s">
        <v>116</v>
      </c>
      <c r="C161" s="270">
        <v>-117666.91</v>
      </c>
      <c r="D161" s="183">
        <v>0</v>
      </c>
      <c r="E161" s="272">
        <v>5392.56</v>
      </c>
      <c r="F161" s="192">
        <f t="shared" si="1"/>
        <v>-112274.35</v>
      </c>
    </row>
    <row r="162" spans="1:6">
      <c r="A162" s="191">
        <v>2036</v>
      </c>
      <c r="B162" s="182" t="s">
        <v>571</v>
      </c>
      <c r="C162" s="270">
        <v>10630</v>
      </c>
      <c r="D162" s="183">
        <v>0</v>
      </c>
      <c r="E162" s="272">
        <v>-15294</v>
      </c>
      <c r="F162" s="192">
        <f t="shared" si="1"/>
        <v>-4664</v>
      </c>
    </row>
    <row r="163" spans="1:6">
      <c r="A163" s="191">
        <v>2037</v>
      </c>
      <c r="B163" s="182" t="s">
        <v>572</v>
      </c>
      <c r="C163" s="270">
        <v>-173315.25</v>
      </c>
      <c r="D163" s="183">
        <v>0</v>
      </c>
      <c r="E163" s="272">
        <v>-107788.28</v>
      </c>
      <c r="F163" s="192">
        <f t="shared" si="1"/>
        <v>-281103.53000000003</v>
      </c>
    </row>
    <row r="164" spans="1:6">
      <c r="A164" s="191">
        <v>2038</v>
      </c>
      <c r="B164" s="182" t="s">
        <v>573</v>
      </c>
      <c r="C164" s="270">
        <v>-20140.349999999999</v>
      </c>
      <c r="D164" s="183">
        <v>0</v>
      </c>
      <c r="E164" s="272">
        <v>-1262</v>
      </c>
      <c r="F164" s="192">
        <f t="shared" si="1"/>
        <v>-21402.35</v>
      </c>
    </row>
    <row r="165" spans="1:6">
      <c r="A165" s="191">
        <v>2039</v>
      </c>
      <c r="B165" s="185" t="s">
        <v>751</v>
      </c>
      <c r="C165" s="270">
        <v>-6175</v>
      </c>
      <c r="D165" s="183">
        <v>0</v>
      </c>
      <c r="E165" s="272">
        <v>-15424.43</v>
      </c>
      <c r="F165" s="192">
        <f t="shared" si="1"/>
        <v>-21599.43</v>
      </c>
    </row>
    <row r="166" spans="1:6">
      <c r="A166" s="191">
        <v>2040</v>
      </c>
      <c r="B166" s="182" t="s">
        <v>528</v>
      </c>
      <c r="C166" s="270">
        <v>-541013.30000000005</v>
      </c>
      <c r="D166" s="183">
        <v>0</v>
      </c>
      <c r="E166" s="272">
        <v>0</v>
      </c>
      <c r="F166" s="192">
        <f t="shared" si="1"/>
        <v>-541013.30000000005</v>
      </c>
    </row>
    <row r="167" spans="1:6">
      <c r="A167" s="191">
        <v>2041</v>
      </c>
      <c r="B167" s="182" t="s">
        <v>126</v>
      </c>
      <c r="C167" s="270">
        <v>-96296.55</v>
      </c>
      <c r="D167" s="183">
        <v>0</v>
      </c>
      <c r="E167" s="272">
        <v>0</v>
      </c>
      <c r="F167" s="192">
        <f t="shared" si="1"/>
        <v>-96296.55</v>
      </c>
    </row>
    <row r="168" spans="1:6">
      <c r="A168" s="191">
        <v>2045</v>
      </c>
      <c r="B168" s="182" t="s">
        <v>128</v>
      </c>
      <c r="C168" s="270">
        <v>34621.58</v>
      </c>
      <c r="D168" s="183">
        <v>0</v>
      </c>
      <c r="E168" s="272">
        <v>864.32</v>
      </c>
      <c r="F168" s="192">
        <f t="shared" si="1"/>
        <v>35485.9</v>
      </c>
    </row>
    <row r="169" spans="1:6">
      <c r="A169" s="191"/>
      <c r="B169" s="182" t="s">
        <v>752</v>
      </c>
      <c r="C169" s="270">
        <v>-11626</v>
      </c>
      <c r="D169" s="183">
        <v>0</v>
      </c>
      <c r="E169" s="272">
        <v>105830.98</v>
      </c>
      <c r="F169" s="192">
        <f t="shared" si="1"/>
        <v>94204.98</v>
      </c>
    </row>
    <row r="170" spans="1:6">
      <c r="A170" s="191">
        <v>2050</v>
      </c>
      <c r="B170" s="182" t="s">
        <v>694</v>
      </c>
      <c r="C170" s="270">
        <v>62509.37</v>
      </c>
      <c r="D170" s="183">
        <v>0</v>
      </c>
      <c r="E170" s="272">
        <v>39342.94</v>
      </c>
      <c r="F170" s="192">
        <f t="shared" si="1"/>
        <v>101852.31</v>
      </c>
    </row>
    <row r="171" spans="1:6">
      <c r="A171" s="191">
        <v>2055</v>
      </c>
      <c r="B171" s="182" t="s">
        <v>574</v>
      </c>
      <c r="C171" s="270">
        <v>1199428.42</v>
      </c>
      <c r="D171" s="183">
        <v>899</v>
      </c>
      <c r="E171" s="272">
        <v>-244202.6</v>
      </c>
      <c r="F171" s="192">
        <f t="shared" si="1"/>
        <v>956124.82</v>
      </c>
    </row>
    <row r="172" spans="1:6">
      <c r="A172" s="191">
        <v>2070</v>
      </c>
      <c r="B172" s="182" t="s">
        <v>134</v>
      </c>
      <c r="C172" s="270">
        <v>-687525.06</v>
      </c>
      <c r="D172" s="183">
        <v>0</v>
      </c>
      <c r="E172" s="272">
        <v>-51261.5</v>
      </c>
      <c r="F172" s="192">
        <f t="shared" si="1"/>
        <v>-738786.56</v>
      </c>
    </row>
    <row r="173" spans="1:6">
      <c r="A173" s="191">
        <v>2080</v>
      </c>
      <c r="B173" s="182" t="s">
        <v>136</v>
      </c>
      <c r="C173" s="270">
        <v>-669456.81999999995</v>
      </c>
      <c r="D173" s="183">
        <v>0</v>
      </c>
      <c r="E173" s="272">
        <v>125664.52</v>
      </c>
      <c r="F173" s="192">
        <f t="shared" si="1"/>
        <v>-543792.29999999993</v>
      </c>
    </row>
    <row r="174" spans="1:6">
      <c r="A174" s="191">
        <v>2090</v>
      </c>
      <c r="B174" s="182" t="s">
        <v>695</v>
      </c>
      <c r="C174" s="270">
        <v>77273</v>
      </c>
      <c r="D174" s="183">
        <v>0</v>
      </c>
      <c r="E174" s="272">
        <v>-19248</v>
      </c>
      <c r="F174" s="192">
        <f t="shared" si="1"/>
        <v>58025</v>
      </c>
    </row>
    <row r="175" spans="1:6" ht="13.8" thickBot="1">
      <c r="A175" s="193"/>
      <c r="B175" s="196" t="s">
        <v>759</v>
      </c>
      <c r="C175" s="194">
        <f>SUM(C131:C174)</f>
        <v>-1274046.3199999998</v>
      </c>
      <c r="D175" s="194">
        <f>SUM(D131:D174)</f>
        <v>-1.3099999999999454</v>
      </c>
      <c r="E175" s="194">
        <f>SUM(E131:E174)</f>
        <v>-321391.81999999995</v>
      </c>
      <c r="F175" s="195">
        <f>SUM(F131:F174)</f>
        <v>-1595439.4500000002</v>
      </c>
    </row>
    <row r="176" spans="1:6">
      <c r="C176" s="150"/>
      <c r="D176" s="150"/>
      <c r="E176" s="150"/>
      <c r="F176" s="150"/>
    </row>
    <row r="177" spans="1:5">
      <c r="E177" s="78"/>
    </row>
    <row r="178" spans="1:5">
      <c r="A178" s="56" t="s">
        <v>479</v>
      </c>
      <c r="B178" s="54" t="s">
        <v>482</v>
      </c>
      <c r="E178" s="78"/>
    </row>
    <row r="179" spans="1:5">
      <c r="B179" s="76" t="s">
        <v>822</v>
      </c>
      <c r="C179" s="65"/>
      <c r="D179" s="65"/>
    </row>
    <row r="181" spans="1:5">
      <c r="A181" s="56" t="s">
        <v>374</v>
      </c>
      <c r="B181" s="56" t="s">
        <v>374</v>
      </c>
    </row>
    <row r="182" spans="1:5">
      <c r="A182" s="56"/>
      <c r="B182" s="56"/>
    </row>
    <row r="183" spans="1:5">
      <c r="B183" s="146"/>
      <c r="C183" s="65"/>
      <c r="D183" s="65"/>
    </row>
    <row r="184" spans="1:5">
      <c r="B184" s="149"/>
    </row>
    <row r="185" spans="1:5">
      <c r="B185" s="149"/>
    </row>
    <row r="186" spans="1:5">
      <c r="B186" s="149"/>
    </row>
    <row r="187" spans="1:5">
      <c r="B187" s="149"/>
    </row>
    <row r="188" spans="1:5">
      <c r="B188" s="149"/>
    </row>
    <row r="189" spans="1:5">
      <c r="B189" s="149"/>
    </row>
  </sheetData>
  <mergeCells count="6">
    <mergeCell ref="F129:F130"/>
    <mergeCell ref="A129:A130"/>
    <mergeCell ref="B129:B130"/>
    <mergeCell ref="C129:C130"/>
    <mergeCell ref="D129:D130"/>
    <mergeCell ref="E129:E130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0"/>
  <sheetViews>
    <sheetView workbookViewId="0">
      <pane xSplit="2" ySplit="2" topLeftCell="C175" activePane="bottomRight" state="frozen"/>
      <selection pane="topRight" activeCell="C1" sqref="C1"/>
      <selection pane="bottomLeft" activeCell="A3" sqref="A3"/>
      <selection pane="bottomRight" activeCell="C195" sqref="C195"/>
    </sheetView>
  </sheetViews>
  <sheetFormatPr baseColWidth="10" defaultColWidth="11.5546875" defaultRowHeight="13.2"/>
  <cols>
    <col min="2" max="2" width="56.33203125" bestFit="1" customWidth="1"/>
    <col min="3" max="3" width="12.33203125" style="23" bestFit="1" customWidth="1"/>
    <col min="4" max="5" width="12.33203125" bestFit="1" customWidth="1"/>
    <col min="6" max="6" width="15.5546875" style="131" bestFit="1" customWidth="1"/>
    <col min="7" max="7" width="13.44140625" style="131" bestFit="1" customWidth="1"/>
    <col min="8" max="8" width="12.33203125" bestFit="1" customWidth="1"/>
  </cols>
  <sheetData>
    <row r="1" spans="1:28" ht="21" customHeight="1">
      <c r="A1" s="208" t="s">
        <v>818</v>
      </c>
      <c r="B1" s="209"/>
      <c r="C1" s="369" t="s">
        <v>813</v>
      </c>
      <c r="D1" s="370"/>
      <c r="E1" s="371"/>
      <c r="F1" s="372" t="s">
        <v>812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19929.8</v>
      </c>
      <c r="G6" s="206">
        <f>SUM(F4:F6)</f>
        <v>1352719.8</v>
      </c>
      <c r="H6" s="214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1250</v>
      </c>
      <c r="B7" s="213" t="s">
        <v>14</v>
      </c>
      <c r="C7" s="242">
        <v>0</v>
      </c>
      <c r="D7" s="206"/>
      <c r="E7" s="214"/>
      <c r="F7" s="242">
        <f>-0.17+0.17</f>
        <v>0</v>
      </c>
      <c r="G7" s="206"/>
      <c r="H7" s="21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1251</v>
      </c>
      <c r="B8" s="213" t="s">
        <v>688</v>
      </c>
      <c r="C8" s="242">
        <v>19261</v>
      </c>
      <c r="D8" s="206"/>
      <c r="E8" s="214"/>
      <c r="F8" s="242">
        <v>20800</v>
      </c>
      <c r="G8" s="206"/>
      <c r="H8" s="214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1252</v>
      </c>
      <c r="B9" s="213" t="s">
        <v>689</v>
      </c>
      <c r="C9" s="242">
        <v>92824</v>
      </c>
      <c r="D9" s="206"/>
      <c r="E9" s="214"/>
      <c r="F9" s="242">
        <v>117580</v>
      </c>
      <c r="G9" s="206"/>
      <c r="H9" s="214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1253</v>
      </c>
      <c r="B10" s="213" t="s">
        <v>690</v>
      </c>
      <c r="C10" s="242">
        <v>57500</v>
      </c>
      <c r="D10" s="225">
        <f>SUM(C7:C10)</f>
        <v>169585</v>
      </c>
      <c r="E10" s="214">
        <f>SUM(D3:D10)</f>
        <v>1502375</v>
      </c>
      <c r="F10" s="242">
        <v>72500</v>
      </c>
      <c r="G10" s="225">
        <f>SUM(F7:F10)</f>
        <v>210880</v>
      </c>
      <c r="H10" s="214">
        <f>SUM(G3:G10)</f>
        <v>1563599.8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1465</v>
      </c>
      <c r="B11" s="213" t="s">
        <v>18</v>
      </c>
      <c r="C11" s="241">
        <v>65282</v>
      </c>
      <c r="D11" s="206">
        <f>C11</f>
        <v>65282</v>
      </c>
      <c r="E11" s="214"/>
      <c r="F11" s="241">
        <v>48127</v>
      </c>
      <c r="G11" s="206">
        <f>F11</f>
        <v>48127</v>
      </c>
      <c r="H11" s="214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ht="14.4">
      <c r="A12" s="215">
        <v>1480</v>
      </c>
      <c r="B12" s="216" t="s">
        <v>762</v>
      </c>
      <c r="C12" s="243">
        <v>1460.98</v>
      </c>
      <c r="D12" s="206"/>
      <c r="E12" s="214"/>
      <c r="F12" s="241"/>
      <c r="G12" s="206"/>
      <c r="H12" s="214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1500</v>
      </c>
      <c r="B13" s="213" t="s">
        <v>552</v>
      </c>
      <c r="C13" s="243">
        <v>216935.5</v>
      </c>
      <c r="D13" s="206"/>
      <c r="E13" s="214"/>
      <c r="F13" s="243">
        <v>171498</v>
      </c>
      <c r="G13" s="226"/>
      <c r="H13" s="214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1580</v>
      </c>
      <c r="B14" s="213" t="s">
        <v>553</v>
      </c>
      <c r="C14" s="243">
        <v>-105000</v>
      </c>
      <c r="D14" s="227">
        <f>SUM(C12:C14)</f>
        <v>113396.48000000001</v>
      </c>
      <c r="E14" s="214"/>
      <c r="F14" s="243">
        <v>-85568</v>
      </c>
      <c r="G14" s="227">
        <f>F13+F14</f>
        <v>85930</v>
      </c>
      <c r="H14" s="214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1530</v>
      </c>
      <c r="B15" s="213" t="s">
        <v>554</v>
      </c>
      <c r="C15" s="244">
        <v>34450</v>
      </c>
      <c r="D15" s="206"/>
      <c r="E15" s="214"/>
      <c r="F15" s="244">
        <v>0</v>
      </c>
      <c r="G15" s="206"/>
      <c r="H15" s="214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12">
        <v>1571</v>
      </c>
      <c r="B16" s="213" t="s">
        <v>691</v>
      </c>
      <c r="C16" s="244">
        <v>0</v>
      </c>
      <c r="D16" s="206"/>
      <c r="E16" s="214"/>
      <c r="F16" s="244">
        <v>12443.86</v>
      </c>
      <c r="G16" s="206"/>
      <c r="H16" s="214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1700</v>
      </c>
      <c r="B17" s="213" t="s">
        <v>32</v>
      </c>
      <c r="C17" s="244">
        <v>0</v>
      </c>
      <c r="D17" s="206"/>
      <c r="E17" s="214"/>
      <c r="F17" s="244">
        <v>6000</v>
      </c>
      <c r="G17" s="206"/>
      <c r="H17" s="214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1720</v>
      </c>
      <c r="B18" s="213" t="s">
        <v>692</v>
      </c>
      <c r="C18" s="244">
        <v>0</v>
      </c>
      <c r="D18" s="206"/>
      <c r="E18" s="214"/>
      <c r="F18" s="244">
        <v>13450</v>
      </c>
      <c r="G18" s="206"/>
      <c r="H18" s="214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1749</v>
      </c>
      <c r="B19" s="213" t="s">
        <v>556</v>
      </c>
      <c r="C19" s="244">
        <v>156477</v>
      </c>
      <c r="D19" s="228">
        <f>SUM(C15:C19)</f>
        <v>190927</v>
      </c>
      <c r="E19" s="214"/>
      <c r="F19" s="244">
        <v>95927</v>
      </c>
      <c r="G19" s="228">
        <f>SUM(F15:F19)</f>
        <v>127820.86</v>
      </c>
      <c r="H19" s="214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1910</v>
      </c>
      <c r="B20" s="213" t="s">
        <v>36</v>
      </c>
      <c r="C20" s="241">
        <v>9890</v>
      </c>
      <c r="D20" s="206"/>
      <c r="E20" s="214"/>
      <c r="F20" s="241">
        <v>16259</v>
      </c>
      <c r="G20" s="206"/>
      <c r="H20" s="21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1920</v>
      </c>
      <c r="B21" s="213" t="s">
        <v>557</v>
      </c>
      <c r="C21" s="241">
        <v>603953.19999999995</v>
      </c>
      <c r="D21" s="206"/>
      <c r="E21" s="214"/>
      <c r="F21" s="241">
        <v>513192.81</v>
      </c>
      <c r="G21" s="206"/>
      <c r="H21" s="21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1921</v>
      </c>
      <c r="B22" s="213" t="s">
        <v>693</v>
      </c>
      <c r="C22" s="241">
        <v>4039.85</v>
      </c>
      <c r="D22" s="206"/>
      <c r="E22" s="214"/>
      <c r="F22" s="241">
        <v>5157.6899999999996</v>
      </c>
      <c r="G22" s="206"/>
      <c r="H22" s="21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ht="14.4">
      <c r="A23" s="215">
        <v>1922</v>
      </c>
      <c r="B23" s="216" t="s">
        <v>763</v>
      </c>
      <c r="C23" s="241">
        <v>4500</v>
      </c>
      <c r="D23" s="206"/>
      <c r="E23" s="214"/>
      <c r="F23" s="241">
        <v>0</v>
      </c>
      <c r="G23" s="206"/>
      <c r="H23" s="21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1930</v>
      </c>
      <c r="B24" s="213" t="s">
        <v>558</v>
      </c>
      <c r="C24" s="241">
        <v>315168.07</v>
      </c>
      <c r="D24" s="206"/>
      <c r="E24" s="214"/>
      <c r="F24" s="241">
        <v>251897.01</v>
      </c>
      <c r="G24" s="206"/>
      <c r="H24" s="214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1931</v>
      </c>
      <c r="B25" s="213" t="s">
        <v>559</v>
      </c>
      <c r="C25" s="241">
        <v>15431.96</v>
      </c>
      <c r="D25" s="206"/>
      <c r="E25" s="214"/>
      <c r="F25" s="241">
        <v>5427.4</v>
      </c>
      <c r="G25" s="206"/>
      <c r="H25" s="214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1936</v>
      </c>
      <c r="B26" s="213" t="s">
        <v>560</v>
      </c>
      <c r="C26" s="241">
        <v>45767.31</v>
      </c>
      <c r="D26" s="206"/>
      <c r="E26" s="214"/>
      <c r="F26" s="241">
        <v>45577.53</v>
      </c>
      <c r="G26" s="206"/>
      <c r="H26" s="214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1938</v>
      </c>
      <c r="B27" s="213" t="s">
        <v>44</v>
      </c>
      <c r="C27" s="241">
        <v>3768.91</v>
      </c>
      <c r="D27" s="206"/>
      <c r="E27" s="214"/>
      <c r="F27" s="241">
        <v>3766.29</v>
      </c>
      <c r="G27" s="206"/>
      <c r="H27" s="214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1940</v>
      </c>
      <c r="B28" s="213" t="s">
        <v>561</v>
      </c>
      <c r="C28" s="241">
        <v>297.11</v>
      </c>
      <c r="D28" s="206"/>
      <c r="E28" s="214"/>
      <c r="F28" s="241">
        <v>296.92</v>
      </c>
      <c r="G28" s="206"/>
      <c r="H28" s="214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1945</v>
      </c>
      <c r="B29" s="213" t="s">
        <v>48</v>
      </c>
      <c r="C29" s="241">
        <v>6255.29</v>
      </c>
      <c r="D29" s="206"/>
      <c r="E29" s="214"/>
      <c r="F29" s="241">
        <v>6250.94</v>
      </c>
      <c r="G29" s="206"/>
      <c r="H29" s="214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1946</v>
      </c>
      <c r="B30" s="213" t="s">
        <v>50</v>
      </c>
      <c r="C30" s="241">
        <v>384311.73</v>
      </c>
      <c r="D30" s="206"/>
      <c r="E30" s="214"/>
      <c r="F30" s="241">
        <v>382718.1</v>
      </c>
      <c r="G30" s="206"/>
      <c r="H30" s="214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1950</v>
      </c>
      <c r="B31" s="213" t="s">
        <v>562</v>
      </c>
      <c r="C31" s="241">
        <v>15862</v>
      </c>
      <c r="D31" s="206"/>
      <c r="E31" s="214"/>
      <c r="F31" s="241">
        <v>18817</v>
      </c>
      <c r="G31" s="206"/>
      <c r="H31" s="214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1952</v>
      </c>
      <c r="B32" s="213" t="s">
        <v>563</v>
      </c>
      <c r="C32" s="241">
        <v>217656.32000000001</v>
      </c>
      <c r="D32" s="206"/>
      <c r="E32" s="214"/>
      <c r="F32" s="241">
        <v>216753.78</v>
      </c>
      <c r="G32" s="206"/>
      <c r="H32" s="214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1962</v>
      </c>
      <c r="B33" s="213" t="s">
        <v>564</v>
      </c>
      <c r="C33" s="260">
        <v>110544.52</v>
      </c>
      <c r="D33" s="207">
        <f>SUM(C20:C33)</f>
        <v>1737446.27</v>
      </c>
      <c r="E33" s="259">
        <f>SUM(D11:D33)</f>
        <v>2107051.75</v>
      </c>
      <c r="F33" s="260">
        <v>110086.15</v>
      </c>
      <c r="G33" s="207">
        <f>SUM(F20:F33)</f>
        <v>1576200.6199999999</v>
      </c>
      <c r="H33" s="259">
        <f>SUM(G11:G33)</f>
        <v>1838078.48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/>
      <c r="B34" s="218" t="s">
        <v>819</v>
      </c>
      <c r="C34" s="241">
        <v>3543470.75</v>
      </c>
      <c r="D34" s="206"/>
      <c r="E34" s="214">
        <f>SUM(E10:E33)</f>
        <v>3609426.75</v>
      </c>
      <c r="F34" s="241">
        <f>SUM(F3:F33)</f>
        <v>3401678.2799999993</v>
      </c>
      <c r="G34" s="206"/>
      <c r="H34" s="214">
        <f>SUM(H33,H10)</f>
        <v>3401678.2800000003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/>
      <c r="B35" s="213"/>
      <c r="C35" s="241" t="s">
        <v>374</v>
      </c>
      <c r="D35" s="206"/>
      <c r="E35" s="214"/>
      <c r="F35" s="241"/>
      <c r="G35" s="206"/>
      <c r="H35" s="214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2001</v>
      </c>
      <c r="B36" s="213" t="s">
        <v>566</v>
      </c>
      <c r="C36" s="241">
        <v>-25011.1</v>
      </c>
      <c r="D36" s="206"/>
      <c r="E36" s="214"/>
      <c r="F36" s="241">
        <v>-20729.099999999999</v>
      </c>
      <c r="G36" s="206"/>
      <c r="H36" s="214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2002</v>
      </c>
      <c r="B37" s="213" t="s">
        <v>58</v>
      </c>
      <c r="C37" s="241">
        <v>21952.36</v>
      </c>
      <c r="D37" s="206"/>
      <c r="E37" s="214"/>
      <c r="F37" s="241">
        <v>23755.360000000001</v>
      </c>
      <c r="G37" s="206"/>
      <c r="H37" s="21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2003</v>
      </c>
      <c r="B38" s="213" t="s">
        <v>60</v>
      </c>
      <c r="C38" s="241">
        <v>-10064.82</v>
      </c>
      <c r="D38" s="206"/>
      <c r="E38" s="214"/>
      <c r="F38" s="241">
        <v>-16881.82</v>
      </c>
      <c r="G38" s="206"/>
      <c r="H38" s="214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2004</v>
      </c>
      <c r="B39" s="213" t="s">
        <v>62</v>
      </c>
      <c r="C39" s="241">
        <v>-38705.99</v>
      </c>
      <c r="D39" s="206"/>
      <c r="E39" s="214"/>
      <c r="F39" s="241">
        <v>-40292.99</v>
      </c>
      <c r="G39" s="206"/>
      <c r="H39" s="214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2005</v>
      </c>
      <c r="B40" s="213" t="s">
        <v>64</v>
      </c>
      <c r="C40" s="241">
        <v>13797.27</v>
      </c>
      <c r="D40" s="206"/>
      <c r="E40" s="214"/>
      <c r="F40" s="241">
        <v>18095.27</v>
      </c>
      <c r="G40" s="206"/>
      <c r="H40" s="214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2006</v>
      </c>
      <c r="B41" s="213" t="s">
        <v>66</v>
      </c>
      <c r="C41" s="241">
        <v>-21674.89</v>
      </c>
      <c r="D41" s="206"/>
      <c r="E41" s="214"/>
      <c r="F41" s="241">
        <v>-4990.8900000000003</v>
      </c>
      <c r="G41" s="206"/>
      <c r="H41" s="214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2007</v>
      </c>
      <c r="B42" s="213" t="s">
        <v>68</v>
      </c>
      <c r="C42" s="241">
        <v>-42281.9</v>
      </c>
      <c r="D42" s="206"/>
      <c r="E42" s="214"/>
      <c r="F42" s="241">
        <v>-32661.9</v>
      </c>
      <c r="G42" s="206"/>
      <c r="H42" s="214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2008</v>
      </c>
      <c r="B43" s="213" t="s">
        <v>70</v>
      </c>
      <c r="C43" s="241">
        <v>36736.949999999997</v>
      </c>
      <c r="D43" s="206"/>
      <c r="E43" s="214"/>
      <c r="F43" s="241">
        <v>43398.95</v>
      </c>
      <c r="G43" s="206"/>
      <c r="H43" s="214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2009</v>
      </c>
      <c r="B44" s="213" t="s">
        <v>567</v>
      </c>
      <c r="C44" s="241">
        <v>-66490.600000000006</v>
      </c>
      <c r="D44" s="206"/>
      <c r="E44" s="214"/>
      <c r="F44" s="241">
        <v>-63925.599999999999</v>
      </c>
      <c r="G44" s="206"/>
      <c r="H44" s="214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2010</v>
      </c>
      <c r="B45" s="213" t="s">
        <v>74</v>
      </c>
      <c r="C45" s="241">
        <v>44185.4</v>
      </c>
      <c r="D45" s="206"/>
      <c r="E45" s="214"/>
      <c r="F45" s="241">
        <v>27398.400000000001</v>
      </c>
      <c r="G45" s="206"/>
      <c r="H45" s="214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2011</v>
      </c>
      <c r="B46" s="213" t="s">
        <v>76</v>
      </c>
      <c r="C46" s="241">
        <v>-5165.8999999999996</v>
      </c>
      <c r="D46" s="206"/>
      <c r="E46" s="214"/>
      <c r="F46" s="241">
        <v>-6083.9</v>
      </c>
      <c r="G46" s="206"/>
      <c r="H46" s="214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2012</v>
      </c>
      <c r="B47" s="213" t="s">
        <v>78</v>
      </c>
      <c r="C47" s="241">
        <v>22156</v>
      </c>
      <c r="D47" s="206"/>
      <c r="E47" s="214"/>
      <c r="F47" s="241">
        <v>104749</v>
      </c>
      <c r="G47" s="206"/>
      <c r="H47" s="214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2013</v>
      </c>
      <c r="B48" s="213" t="s">
        <v>80</v>
      </c>
      <c r="C48" s="241">
        <v>100948.76</v>
      </c>
      <c r="D48" s="206"/>
      <c r="E48" s="214"/>
      <c r="F48" s="241">
        <v>122109.75999999999</v>
      </c>
      <c r="G48" s="206"/>
      <c r="H48" s="214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2014</v>
      </c>
      <c r="B49" s="213" t="s">
        <v>82</v>
      </c>
      <c r="C49" s="241">
        <v>-13498.65</v>
      </c>
      <c r="D49" s="206"/>
      <c r="E49" s="214"/>
      <c r="F49" s="241">
        <v>-9419.65</v>
      </c>
      <c r="G49" s="206"/>
      <c r="H49" s="214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2015</v>
      </c>
      <c r="B50" s="213" t="s">
        <v>84</v>
      </c>
      <c r="C50" s="241">
        <v>10880.34</v>
      </c>
      <c r="D50" s="206"/>
      <c r="E50" s="214"/>
      <c r="F50" s="241">
        <v>11912.34</v>
      </c>
      <c r="G50" s="206"/>
      <c r="H50" s="214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2016</v>
      </c>
      <c r="B51" s="213" t="s">
        <v>86</v>
      </c>
      <c r="C51" s="241">
        <v>-17422.509999999998</v>
      </c>
      <c r="D51" s="206"/>
      <c r="E51" s="214"/>
      <c r="F51" s="241">
        <v>-28072.51</v>
      </c>
      <c r="G51" s="206"/>
      <c r="H51" s="21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2017</v>
      </c>
      <c r="B52" s="213" t="s">
        <v>88</v>
      </c>
      <c r="C52" s="241">
        <v>55148.94</v>
      </c>
      <c r="D52" s="206"/>
      <c r="E52" s="214"/>
      <c r="F52" s="241">
        <v>44149.94</v>
      </c>
      <c r="G52" s="206"/>
      <c r="H52" s="214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2018</v>
      </c>
      <c r="B53" s="213" t="s">
        <v>90</v>
      </c>
      <c r="C53" s="241">
        <v>-2008</v>
      </c>
      <c r="D53" s="206"/>
      <c r="E53" s="214"/>
      <c r="F53" s="241">
        <v>5587.92</v>
      </c>
      <c r="G53" s="206"/>
      <c r="H53" s="214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2019</v>
      </c>
      <c r="B54" s="213" t="s">
        <v>568</v>
      </c>
      <c r="C54" s="241">
        <v>22415.919999999998</v>
      </c>
      <c r="D54" s="206"/>
      <c r="E54" s="214"/>
      <c r="F54" s="241">
        <v>19524.919999999998</v>
      </c>
      <c r="G54" s="206"/>
      <c r="H54" s="214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2020</v>
      </c>
      <c r="B55" s="213" t="s">
        <v>94</v>
      </c>
      <c r="C55" s="241">
        <v>-19746.060000000001</v>
      </c>
      <c r="D55" s="206"/>
      <c r="E55" s="214"/>
      <c r="F55" s="241">
        <v>-27969.06</v>
      </c>
      <c r="G55" s="206"/>
      <c r="H55" s="214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2024</v>
      </c>
      <c r="B56" s="213" t="s">
        <v>96</v>
      </c>
      <c r="C56" s="241">
        <v>-117637.53</v>
      </c>
      <c r="D56" s="206"/>
      <c r="E56" s="214"/>
      <c r="F56" s="241">
        <v>-8481.5300000000007</v>
      </c>
      <c r="G56" s="206"/>
      <c r="H56" s="214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2025</v>
      </c>
      <c r="B57" s="213" t="s">
        <v>98</v>
      </c>
      <c r="C57" s="241">
        <v>-1021.61</v>
      </c>
      <c r="D57" s="206"/>
      <c r="E57" s="214"/>
      <c r="F57" s="241">
        <v>-1021.61</v>
      </c>
      <c r="G57" s="206"/>
      <c r="H57" s="214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2026</v>
      </c>
      <c r="B58" s="213" t="s">
        <v>100</v>
      </c>
      <c r="C58" s="241">
        <v>-13919.65</v>
      </c>
      <c r="D58" s="206"/>
      <c r="E58" s="214"/>
      <c r="F58" s="241">
        <v>-13919.65</v>
      </c>
      <c r="G58" s="206"/>
      <c r="H58" s="214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2027</v>
      </c>
      <c r="B59" s="213" t="s">
        <v>102</v>
      </c>
      <c r="C59" s="241">
        <v>-5004</v>
      </c>
      <c r="D59" s="206"/>
      <c r="E59" s="214"/>
      <c r="F59" s="241">
        <v>2803.39</v>
      </c>
      <c r="G59" s="206"/>
      <c r="H59" s="214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2028</v>
      </c>
      <c r="B60" s="213" t="s">
        <v>569</v>
      </c>
      <c r="C60" s="241">
        <v>-29902.03</v>
      </c>
      <c r="D60" s="206"/>
      <c r="E60" s="214"/>
      <c r="F60" s="241">
        <v>-12292.03</v>
      </c>
      <c r="G60" s="206"/>
      <c r="H60" s="214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2029</v>
      </c>
      <c r="B61" s="213" t="s">
        <v>106</v>
      </c>
      <c r="C61" s="241">
        <v>1160.43</v>
      </c>
      <c r="D61" s="206"/>
      <c r="E61" s="214"/>
      <c r="F61" s="241">
        <v>8073.43</v>
      </c>
      <c r="G61" s="206"/>
      <c r="H61" s="214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2030</v>
      </c>
      <c r="B62" s="213" t="s">
        <v>108</v>
      </c>
      <c r="C62" s="241">
        <v>-42303.86</v>
      </c>
      <c r="D62" s="206"/>
      <c r="E62" s="214"/>
      <c r="F62" s="241">
        <v>-37346.86</v>
      </c>
      <c r="G62" s="206"/>
      <c r="H62" s="214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2031</v>
      </c>
      <c r="B63" s="213" t="s">
        <v>570</v>
      </c>
      <c r="C63" s="241">
        <v>-147525.57999999999</v>
      </c>
      <c r="D63" s="206"/>
      <c r="E63" s="214"/>
      <c r="F63" s="241">
        <v>-49413.58</v>
      </c>
      <c r="G63" s="206"/>
      <c r="H63" s="214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2032</v>
      </c>
      <c r="B64" s="213" t="s">
        <v>112</v>
      </c>
      <c r="C64" s="241">
        <v>-5748.48</v>
      </c>
      <c r="D64" s="206"/>
      <c r="E64" s="214"/>
      <c r="F64" s="241">
        <v>4329.5200000000004</v>
      </c>
      <c r="G64" s="206"/>
      <c r="H64" s="214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2034</v>
      </c>
      <c r="B65" s="213" t="s">
        <v>114</v>
      </c>
      <c r="C65" s="241">
        <v>-40442.97</v>
      </c>
      <c r="D65" s="206"/>
      <c r="E65" s="214"/>
      <c r="F65" s="241">
        <v>-21062.97</v>
      </c>
      <c r="G65" s="206"/>
      <c r="H65" s="214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2035</v>
      </c>
      <c r="B66" s="213" t="s">
        <v>116</v>
      </c>
      <c r="C66" s="241">
        <v>-117666.91</v>
      </c>
      <c r="D66" s="206"/>
      <c r="E66" s="214"/>
      <c r="F66" s="241">
        <v>-85564.91</v>
      </c>
      <c r="G66" s="206"/>
      <c r="H66" s="214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2036</v>
      </c>
      <c r="B67" s="213" t="s">
        <v>571</v>
      </c>
      <c r="C67" s="241">
        <v>10630</v>
      </c>
      <c r="D67" s="206"/>
      <c r="E67" s="214"/>
      <c r="F67" s="241">
        <v>-732</v>
      </c>
      <c r="G67" s="206"/>
      <c r="H67" s="214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2037</v>
      </c>
      <c r="B68" s="213" t="s">
        <v>572</v>
      </c>
      <c r="C68" s="241">
        <v>-173315.25</v>
      </c>
      <c r="D68" s="206"/>
      <c r="E68" s="214"/>
      <c r="F68" s="241">
        <v>-236248.25</v>
      </c>
      <c r="G68" s="206"/>
      <c r="H68" s="214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2038</v>
      </c>
      <c r="B69" s="213" t="s">
        <v>573</v>
      </c>
      <c r="C69" s="241">
        <v>-20140.349999999999</v>
      </c>
      <c r="D69" s="206"/>
      <c r="E69" s="214"/>
      <c r="F69" s="241">
        <v>-17696.349999999999</v>
      </c>
      <c r="G69" s="206"/>
      <c r="H69" s="214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 ht="14.4">
      <c r="A70" s="215">
        <v>2039</v>
      </c>
      <c r="B70" s="216" t="s">
        <v>764</v>
      </c>
      <c r="C70" s="241">
        <v>-6175</v>
      </c>
      <c r="D70" s="206"/>
      <c r="E70" s="214"/>
      <c r="F70" s="241"/>
      <c r="G70" s="206"/>
      <c r="H70" s="214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2040</v>
      </c>
      <c r="B71" s="213" t="s">
        <v>528</v>
      </c>
      <c r="C71" s="241">
        <v>-541013.30000000005</v>
      </c>
      <c r="D71" s="206"/>
      <c r="E71" s="214"/>
      <c r="F71" s="241">
        <v>-541013.30000000005</v>
      </c>
      <c r="G71" s="206"/>
      <c r="H71" s="214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2041</v>
      </c>
      <c r="B72" s="213" t="s">
        <v>126</v>
      </c>
      <c r="C72" s="241">
        <v>-96296.55</v>
      </c>
      <c r="D72" s="206">
        <f>SUM(C71:C72)</f>
        <v>-637309.85000000009</v>
      </c>
      <c r="E72" s="214"/>
      <c r="F72" s="241">
        <v>-96296.55</v>
      </c>
      <c r="G72" s="206">
        <f>SUM(F71:F72)</f>
        <v>-637309.85000000009</v>
      </c>
      <c r="H72" s="217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2045</v>
      </c>
      <c r="B73" s="213" t="s">
        <v>128</v>
      </c>
      <c r="C73" s="241">
        <v>34621.58</v>
      </c>
      <c r="D73" s="206"/>
      <c r="E73" s="214"/>
      <c r="F73" s="241">
        <v>79744.58</v>
      </c>
      <c r="G73" s="206"/>
      <c r="H73" s="214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14.4">
      <c r="A74" s="215">
        <v>2046</v>
      </c>
      <c r="B74" s="216" t="s">
        <v>765</v>
      </c>
      <c r="C74" s="241">
        <v>-11626</v>
      </c>
      <c r="D74" s="206"/>
      <c r="E74" s="214"/>
      <c r="F74" s="241">
        <v>0</v>
      </c>
      <c r="G74" s="206"/>
      <c r="H74" s="214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2050</v>
      </c>
      <c r="B75" s="213" t="s">
        <v>694</v>
      </c>
      <c r="C75" s="241">
        <v>62509.37</v>
      </c>
      <c r="D75" s="206"/>
      <c r="E75" s="214"/>
      <c r="F75" s="241">
        <v>-63882.63</v>
      </c>
      <c r="G75" s="206"/>
      <c r="H75" s="214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2055</v>
      </c>
      <c r="B76" s="213" t="s">
        <v>574</v>
      </c>
      <c r="C76" s="241">
        <v>1200327.42</v>
      </c>
      <c r="D76" s="206"/>
      <c r="E76" s="214"/>
      <c r="F76" s="241">
        <v>115999.42</v>
      </c>
      <c r="G76" s="206"/>
      <c r="H76" s="214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2070</v>
      </c>
      <c r="B77" s="213" t="s">
        <v>134</v>
      </c>
      <c r="C77" s="241">
        <v>-687525.06</v>
      </c>
      <c r="D77" s="206"/>
      <c r="E77" s="214"/>
      <c r="F77" s="241">
        <v>-598395.06000000006</v>
      </c>
      <c r="G77" s="206"/>
      <c r="H77" s="214"/>
      <c r="I77" s="1">
        <f>G80-D80</f>
        <v>321391.81999999913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2080</v>
      </c>
      <c r="B78" s="213" t="s">
        <v>136</v>
      </c>
      <c r="C78" s="241">
        <v>-669456.81999999995</v>
      </c>
      <c r="D78" s="206"/>
      <c r="E78" s="214"/>
      <c r="F78" s="241">
        <v>-379860.82</v>
      </c>
      <c r="G78" s="229"/>
      <c r="H78" s="214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2090</v>
      </c>
      <c r="B79" s="213" t="s">
        <v>695</v>
      </c>
      <c r="C79" s="241">
        <v>77273</v>
      </c>
      <c r="D79" s="261"/>
      <c r="E79" s="217"/>
      <c r="F79" s="241">
        <v>1050</v>
      </c>
      <c r="G79" s="239"/>
      <c r="H79" s="217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/>
      <c r="B80" s="213" t="s">
        <v>575</v>
      </c>
      <c r="C80" s="241">
        <f>'Årsregnskap 2016'!C29*-1</f>
        <v>-321391.81999999954</v>
      </c>
      <c r="D80" s="206">
        <f>SUM(C36:C70)+C73+C74+C75+C76+C77+C78+C79+C80</f>
        <v>-958129.59999999963</v>
      </c>
      <c r="E80" s="214">
        <f>SUM(D72:D80)</f>
        <v>-1595439.4499999997</v>
      </c>
      <c r="F80" s="245">
        <f>'Årsregnskap 2016'!D29*-1</f>
        <v>507525.68999999942</v>
      </c>
      <c r="G80" s="206">
        <f>SUM(F36:F70)+F73+F74+F75+F76+F77+F78+F79+F80</f>
        <v>-636737.78000000049</v>
      </c>
      <c r="H80" s="214">
        <f>G72+G80</f>
        <v>-1274047.6300000006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2192</v>
      </c>
      <c r="B81" s="213" t="s">
        <v>138</v>
      </c>
      <c r="C81" s="246">
        <v>-7800</v>
      </c>
      <c r="D81" s="206"/>
      <c r="E81" s="214"/>
      <c r="F81" s="246">
        <v>-7800</v>
      </c>
      <c r="G81" s="206"/>
      <c r="H81" s="214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2240</v>
      </c>
      <c r="B82" s="213" t="s">
        <v>140</v>
      </c>
      <c r="C82" s="243">
        <v>-1000000</v>
      </c>
      <c r="D82" s="206"/>
      <c r="E82" s="214"/>
      <c r="F82" s="243">
        <v>-1000000</v>
      </c>
      <c r="G82" s="206"/>
      <c r="H82" s="214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12">
        <v>2241</v>
      </c>
      <c r="B83" s="213" t="s">
        <v>142</v>
      </c>
      <c r="C83" s="243">
        <v>-277790</v>
      </c>
      <c r="D83" s="227">
        <f>SUM(C82:C83)+C86</f>
        <v>-1312790</v>
      </c>
      <c r="E83" s="214"/>
      <c r="F83" s="243">
        <v>-277790</v>
      </c>
      <c r="G83" s="227">
        <f>SUM(F82:F83)+F86</f>
        <v>-1312790</v>
      </c>
      <c r="H83" s="214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2400</v>
      </c>
      <c r="B84" s="213" t="s">
        <v>578</v>
      </c>
      <c r="C84" s="241">
        <v>-562768.36</v>
      </c>
      <c r="D84" s="206">
        <f>C84</f>
        <v>-562768.36</v>
      </c>
      <c r="E84" s="214"/>
      <c r="F84" s="241">
        <v>-322378.44</v>
      </c>
      <c r="G84" s="206">
        <f>F84</f>
        <v>-322378.44</v>
      </c>
      <c r="H84" s="214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2442</v>
      </c>
      <c r="B85" s="213" t="s">
        <v>576</v>
      </c>
      <c r="C85" s="244">
        <v>-10000</v>
      </c>
      <c r="D85" s="206"/>
      <c r="E85" s="214"/>
      <c r="F85" s="244">
        <v>-10000</v>
      </c>
      <c r="G85" s="206"/>
      <c r="H85" s="214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2443</v>
      </c>
      <c r="B86" s="213" t="s">
        <v>150</v>
      </c>
      <c r="C86" s="243">
        <v>-35000</v>
      </c>
      <c r="D86" s="206"/>
      <c r="E86" s="214"/>
      <c r="F86" s="243">
        <v>-35000</v>
      </c>
      <c r="G86" s="206"/>
      <c r="H86" s="214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2444</v>
      </c>
      <c r="B87" s="213" t="s">
        <v>577</v>
      </c>
      <c r="C87" s="244">
        <v>-10000</v>
      </c>
      <c r="D87" s="228">
        <f>C85+C87</f>
        <v>-20000</v>
      </c>
      <c r="E87" s="214"/>
      <c r="F87" s="244">
        <v>-10000</v>
      </c>
      <c r="G87" s="228">
        <f>F85+F87</f>
        <v>-20000</v>
      </c>
      <c r="H87" s="214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2600</v>
      </c>
      <c r="B88" s="213" t="s">
        <v>579</v>
      </c>
      <c r="C88" s="242">
        <v>-15862</v>
      </c>
      <c r="D88" s="206"/>
      <c r="E88" s="214"/>
      <c r="F88" s="242">
        <v>-18817</v>
      </c>
      <c r="G88" s="206"/>
      <c r="H88" s="214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>
        <v>2770</v>
      </c>
      <c r="B89" s="213" t="s">
        <v>160</v>
      </c>
      <c r="C89" s="242">
        <v>-15147.06</v>
      </c>
      <c r="D89" s="225">
        <f>SUM(C88:C89)</f>
        <v>-31009.059999999998</v>
      </c>
      <c r="E89" s="214"/>
      <c r="F89" s="242">
        <v>-37300</v>
      </c>
      <c r="G89" s="225">
        <f>SUM(F88:F89)</f>
        <v>-56117</v>
      </c>
      <c r="H89" s="214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2780</v>
      </c>
      <c r="B90" s="213" t="s">
        <v>582</v>
      </c>
      <c r="C90" s="246">
        <v>-6131.77</v>
      </c>
      <c r="D90" s="206"/>
      <c r="E90" s="214"/>
      <c r="F90" s="246">
        <v>-6136.34</v>
      </c>
      <c r="G90" s="206"/>
      <c r="H90" s="214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2900</v>
      </c>
      <c r="B91" s="213" t="s">
        <v>164</v>
      </c>
      <c r="C91" s="246">
        <v>0</v>
      </c>
      <c r="D91" s="206"/>
      <c r="E91" s="214"/>
      <c r="F91" s="246">
        <v>21111.14</v>
      </c>
      <c r="G91" s="206"/>
      <c r="H91" s="214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2930</v>
      </c>
      <c r="B92" s="213" t="s">
        <v>583</v>
      </c>
      <c r="C92" s="246">
        <v>0</v>
      </c>
      <c r="D92" s="206"/>
      <c r="E92" s="214"/>
      <c r="F92" s="246">
        <v>0</v>
      </c>
      <c r="G92" s="206"/>
      <c r="H92" s="214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2940</v>
      </c>
      <c r="B93" s="213" t="s">
        <v>168</v>
      </c>
      <c r="C93" s="246">
        <v>-43488.11</v>
      </c>
      <c r="D93" s="206"/>
      <c r="E93" s="214"/>
      <c r="F93" s="246">
        <v>-43520.01</v>
      </c>
      <c r="G93" s="206"/>
      <c r="H93" s="214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2960</v>
      </c>
      <c r="B94" s="213" t="s">
        <v>584</v>
      </c>
      <c r="C94" s="246">
        <v>0</v>
      </c>
      <c r="D94" s="206"/>
      <c r="E94" s="214"/>
      <c r="F94" s="246">
        <v>-380000</v>
      </c>
      <c r="G94" s="226"/>
      <c r="H94" s="217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14.4">
      <c r="A95" s="215">
        <v>2990</v>
      </c>
      <c r="B95" s="216" t="s">
        <v>146</v>
      </c>
      <c r="C95" s="257">
        <v>-30000</v>
      </c>
      <c r="D95" s="258">
        <f>SUM(C90:C95)+C81</f>
        <v>-87419.88</v>
      </c>
      <c r="E95" s="259">
        <f>SUM(D83:D95)</f>
        <v>-2013987.2999999998</v>
      </c>
      <c r="F95" s="257">
        <v>0</v>
      </c>
      <c r="G95" s="258">
        <f>SUM(F90:F95)+F81</f>
        <v>-416345.21</v>
      </c>
      <c r="H95" s="259">
        <f>SUM(G83:G95)</f>
        <v>-2127630.65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/>
      <c r="B96" s="218" t="s">
        <v>820</v>
      </c>
      <c r="C96" s="241">
        <f>SUM(C36:C95)</f>
        <v>-3609426.7499999991</v>
      </c>
      <c r="D96" s="206"/>
      <c r="E96" s="214">
        <f>E80+E95</f>
        <v>-3609426.7499999995</v>
      </c>
      <c r="F96" s="241">
        <f>SUM(F36:F95)</f>
        <v>-3401678.2800000003</v>
      </c>
      <c r="G96" s="206"/>
      <c r="H96" s="214">
        <f>H80+H95</f>
        <v>-3401678.2800000003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/>
      <c r="B97" s="213"/>
      <c r="C97" s="260" t="s">
        <v>374</v>
      </c>
      <c r="D97" s="207"/>
      <c r="E97" s="259"/>
      <c r="F97" s="260"/>
      <c r="G97" s="207"/>
      <c r="H97" s="259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14.4">
      <c r="A98" s="215">
        <v>3100</v>
      </c>
      <c r="B98" s="216" t="s">
        <v>766</v>
      </c>
      <c r="C98" s="247">
        <v>-18110</v>
      </c>
      <c r="D98" s="206"/>
      <c r="E98" s="214"/>
      <c r="F98" s="241"/>
      <c r="G98" s="206"/>
      <c r="H98" s="214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3110</v>
      </c>
      <c r="B99" s="213" t="s">
        <v>176</v>
      </c>
      <c r="C99" s="247">
        <v>-175656.28</v>
      </c>
      <c r="D99" s="206"/>
      <c r="E99" s="214"/>
      <c r="F99" s="247">
        <v>-133580.82</v>
      </c>
      <c r="G99" s="206"/>
      <c r="H99" s="214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3120</v>
      </c>
      <c r="B100" s="213" t="s">
        <v>178</v>
      </c>
      <c r="C100" s="247">
        <v>-34375</v>
      </c>
      <c r="D100" s="206"/>
      <c r="E100" s="214"/>
      <c r="F100" s="247">
        <v>-10000</v>
      </c>
      <c r="G100" s="206"/>
      <c r="H100" s="214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14.4">
      <c r="A101" s="215">
        <v>3160</v>
      </c>
      <c r="B101" s="216" t="s">
        <v>767</v>
      </c>
      <c r="C101" s="247">
        <v>-950</v>
      </c>
      <c r="D101" s="206"/>
      <c r="E101" s="214"/>
      <c r="F101" s="247">
        <v>0</v>
      </c>
      <c r="G101" s="206"/>
      <c r="H101" s="214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3400</v>
      </c>
      <c r="B102" s="213" t="s">
        <v>182</v>
      </c>
      <c r="C102" s="243">
        <v>-814000</v>
      </c>
      <c r="D102" s="227">
        <f>C102</f>
        <v>-814000</v>
      </c>
      <c r="E102" s="214"/>
      <c r="F102" s="243">
        <v>-323600</v>
      </c>
      <c r="G102" s="227">
        <f>F102</f>
        <v>-323600</v>
      </c>
      <c r="H102" s="214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3440</v>
      </c>
      <c r="B103" s="213" t="s">
        <v>588</v>
      </c>
      <c r="C103" s="247">
        <v>-639423.97</v>
      </c>
      <c r="D103" s="206"/>
      <c r="E103" s="214"/>
      <c r="F103" s="247">
        <v>0</v>
      </c>
      <c r="G103" s="206"/>
      <c r="H103" s="214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4.4">
      <c r="A104" s="215">
        <v>3480</v>
      </c>
      <c r="B104" s="216" t="s">
        <v>190</v>
      </c>
      <c r="C104" s="247">
        <v>-20420</v>
      </c>
      <c r="D104" s="206"/>
      <c r="E104" s="214"/>
      <c r="F104" s="247">
        <v>0</v>
      </c>
      <c r="G104" s="206"/>
      <c r="H104" s="214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3490</v>
      </c>
      <c r="B105" s="213" t="s">
        <v>194</v>
      </c>
      <c r="C105" s="247">
        <v>-510116.31</v>
      </c>
      <c r="D105" s="206"/>
      <c r="E105" s="214"/>
      <c r="F105" s="247">
        <v>-658720.43000000005</v>
      </c>
      <c r="G105" s="206"/>
      <c r="H105" s="214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3610</v>
      </c>
      <c r="B106" s="213" t="s">
        <v>589</v>
      </c>
      <c r="C106" s="248">
        <v>-347167</v>
      </c>
      <c r="D106" s="206"/>
      <c r="E106" s="214"/>
      <c r="F106" s="248">
        <v>-191880</v>
      </c>
      <c r="G106" s="206"/>
      <c r="H106" s="214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3630</v>
      </c>
      <c r="B107" s="213" t="s">
        <v>198</v>
      </c>
      <c r="C107" s="248">
        <v>-31955</v>
      </c>
      <c r="D107" s="231">
        <f>SUM(C106:C107)</f>
        <v>-379122</v>
      </c>
      <c r="E107" s="214"/>
      <c r="F107" s="248">
        <v>-7650</v>
      </c>
      <c r="G107" s="231">
        <f>SUM(F106:F107)</f>
        <v>-199530</v>
      </c>
      <c r="H107" s="214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4">
      <c r="A108" s="215">
        <v>3700</v>
      </c>
      <c r="B108" s="216" t="s">
        <v>768</v>
      </c>
      <c r="C108" s="247">
        <v>-3094</v>
      </c>
      <c r="D108" s="206"/>
      <c r="E108" s="214"/>
      <c r="F108" s="247">
        <v>0</v>
      </c>
      <c r="G108" s="232"/>
      <c r="H108" s="214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3910</v>
      </c>
      <c r="B109" s="213" t="s">
        <v>591</v>
      </c>
      <c r="C109" s="249">
        <v>-335652</v>
      </c>
      <c r="D109" s="206"/>
      <c r="E109" s="214"/>
      <c r="F109" s="249">
        <v>-172767.21</v>
      </c>
      <c r="G109" s="206"/>
      <c r="H109" s="214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>
      <c r="A110" s="212">
        <v>3915</v>
      </c>
      <c r="B110" s="213" t="s">
        <v>204</v>
      </c>
      <c r="C110" s="249">
        <v>0</v>
      </c>
      <c r="D110" s="206"/>
      <c r="E110" s="214"/>
      <c r="F110" s="249">
        <v>-450</v>
      </c>
      <c r="G110" s="206"/>
      <c r="H110" s="214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3920</v>
      </c>
      <c r="B111" s="213" t="s">
        <v>592</v>
      </c>
      <c r="C111" s="249">
        <v>-1372120</v>
      </c>
      <c r="D111" s="206"/>
      <c r="E111" s="214"/>
      <c r="F111" s="249">
        <v>-1091470.0900000001</v>
      </c>
      <c r="G111" s="206"/>
      <c r="H111" s="214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3925</v>
      </c>
      <c r="B112" s="213" t="s">
        <v>208</v>
      </c>
      <c r="C112" s="249">
        <v>0</v>
      </c>
      <c r="D112" s="233">
        <f>SUM(C109:C112)</f>
        <v>-1707772</v>
      </c>
      <c r="E112" s="214"/>
      <c r="F112" s="249">
        <v>-2475</v>
      </c>
      <c r="G112" s="233">
        <f>SUM(F109:F112)</f>
        <v>-1267162.3</v>
      </c>
      <c r="H112" s="214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3940</v>
      </c>
      <c r="B113" s="213" t="s">
        <v>212</v>
      </c>
      <c r="C113" s="247">
        <v>-372578</v>
      </c>
      <c r="D113" s="206"/>
      <c r="E113" s="214"/>
      <c r="F113" s="247">
        <v>-188593</v>
      </c>
      <c r="G113" s="206"/>
      <c r="H113" s="214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12">
        <v>3950</v>
      </c>
      <c r="B114" s="213" t="s">
        <v>214</v>
      </c>
      <c r="C114" s="247">
        <v>-158131</v>
      </c>
      <c r="D114" s="206"/>
      <c r="E114" s="214"/>
      <c r="F114" s="247">
        <v>-343954.87</v>
      </c>
      <c r="G114" s="206"/>
      <c r="H114" s="214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3960</v>
      </c>
      <c r="B115" s="213" t="s">
        <v>216</v>
      </c>
      <c r="C115" s="247">
        <v>-589987.47</v>
      </c>
      <c r="D115" s="206"/>
      <c r="E115" s="214"/>
      <c r="F115" s="247">
        <v>-497972.32</v>
      </c>
      <c r="G115" s="206"/>
      <c r="H115" s="214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3970</v>
      </c>
      <c r="B116" s="213" t="s">
        <v>218</v>
      </c>
      <c r="C116" s="247">
        <v>-673042.19</v>
      </c>
      <c r="D116" s="206"/>
      <c r="E116" s="214"/>
      <c r="F116" s="247">
        <v>-374526</v>
      </c>
      <c r="G116" s="206"/>
      <c r="H116" s="214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3990</v>
      </c>
      <c r="B117" s="213" t="s">
        <v>220</v>
      </c>
      <c r="C117" s="262">
        <v>-178884.82</v>
      </c>
      <c r="D117" s="263">
        <f>C98+C99+C100+C101+C103+C104+C105+C108+C113+C114+C115+C116+C117</f>
        <v>-3374769.04</v>
      </c>
      <c r="E117" s="205"/>
      <c r="F117" s="262">
        <v>-832889.39</v>
      </c>
      <c r="G117" s="263">
        <f>F99+F100+F101+F103+F105+F108+F113+F114+F115+F116+F117</f>
        <v>-3040236.8300000005</v>
      </c>
      <c r="H117" s="264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12"/>
      <c r="B118" s="213" t="s">
        <v>593</v>
      </c>
      <c r="C118" s="241">
        <v>-6275663.04</v>
      </c>
      <c r="D118" s="206"/>
      <c r="E118" s="214">
        <f>SUM(D102:D117)</f>
        <v>-6275663.04</v>
      </c>
      <c r="F118" s="241">
        <f>SUM(F99:F117)</f>
        <v>-4830529.13</v>
      </c>
      <c r="G118" s="206"/>
      <c r="H118" s="214">
        <f>SUM(G102:G117)</f>
        <v>-4830529.1300000008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212"/>
      <c r="B119" s="213"/>
      <c r="C119" s="241" t="s">
        <v>374</v>
      </c>
      <c r="D119" s="206"/>
      <c r="E119" s="214"/>
      <c r="F119" s="241"/>
      <c r="G119" s="206"/>
      <c r="H119" s="214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14.4">
      <c r="A120" s="215">
        <v>4000</v>
      </c>
      <c r="B120" s="216" t="s">
        <v>769</v>
      </c>
      <c r="C120" s="250">
        <v>598</v>
      </c>
      <c r="D120" s="206"/>
      <c r="E120" s="214"/>
      <c r="F120" s="250">
        <v>0</v>
      </c>
      <c r="G120" s="206"/>
      <c r="H120" s="214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4110</v>
      </c>
      <c r="B121" s="213" t="s">
        <v>696</v>
      </c>
      <c r="C121" s="250">
        <v>210509.3</v>
      </c>
      <c r="D121" s="206"/>
      <c r="E121" s="214"/>
      <c r="F121" s="250">
        <v>115689.82</v>
      </c>
      <c r="G121" s="206"/>
      <c r="H121" s="214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4120</v>
      </c>
      <c r="B122" s="213" t="s">
        <v>697</v>
      </c>
      <c r="C122" s="250">
        <v>250778.35</v>
      </c>
      <c r="D122" s="206"/>
      <c r="E122" s="214"/>
      <c r="F122" s="250">
        <v>586345.47</v>
      </c>
      <c r="G122" s="206"/>
      <c r="H122" s="214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4150</v>
      </c>
      <c r="B123" s="213" t="s">
        <v>698</v>
      </c>
      <c r="C123" s="250">
        <v>41624.26</v>
      </c>
      <c r="D123" s="206"/>
      <c r="E123" s="214"/>
      <c r="F123" s="250">
        <v>320839.11</v>
      </c>
      <c r="G123" s="206"/>
      <c r="H123" s="214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4200</v>
      </c>
      <c r="B124" s="213" t="s">
        <v>323</v>
      </c>
      <c r="C124" s="250">
        <v>638012.78</v>
      </c>
      <c r="D124" s="206"/>
      <c r="E124" s="214"/>
      <c r="F124" s="250">
        <v>639355.57999999996</v>
      </c>
      <c r="G124" s="206"/>
      <c r="H124" s="214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4300</v>
      </c>
      <c r="B125" s="213" t="s">
        <v>699</v>
      </c>
      <c r="C125" s="250">
        <v>11453.1</v>
      </c>
      <c r="D125" s="206"/>
      <c r="E125" s="214"/>
      <c r="F125" s="250">
        <v>19372.72</v>
      </c>
      <c r="G125" s="206"/>
      <c r="H125" s="214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4500</v>
      </c>
      <c r="B126" s="213" t="s">
        <v>700</v>
      </c>
      <c r="C126" s="250">
        <v>112520</v>
      </c>
      <c r="D126" s="206"/>
      <c r="E126" s="214"/>
      <c r="F126" s="250">
        <v>161090</v>
      </c>
      <c r="G126" s="206"/>
      <c r="H126" s="214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4510</v>
      </c>
      <c r="B127" s="213" t="s">
        <v>701</v>
      </c>
      <c r="C127" s="250">
        <v>84811.09</v>
      </c>
      <c r="D127" s="206"/>
      <c r="E127" s="214"/>
      <c r="F127" s="250">
        <v>92454.79</v>
      </c>
      <c r="G127" s="206"/>
      <c r="H127" s="214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4590</v>
      </c>
      <c r="B128" s="213" t="s">
        <v>435</v>
      </c>
      <c r="C128" s="250">
        <v>-17155</v>
      </c>
      <c r="D128" s="206"/>
      <c r="E128" s="214"/>
      <c r="F128" s="250">
        <v>22142.5</v>
      </c>
      <c r="G128" s="206"/>
      <c r="H128" s="214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4610</v>
      </c>
      <c r="B129" s="213" t="s">
        <v>702</v>
      </c>
      <c r="C129" s="250">
        <v>272936.82</v>
      </c>
      <c r="D129" s="206"/>
      <c r="E129" s="214"/>
      <c r="F129" s="250">
        <v>110694.57</v>
      </c>
      <c r="G129" s="206"/>
      <c r="H129" s="214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12">
        <v>4700</v>
      </c>
      <c r="B130" s="213" t="s">
        <v>335</v>
      </c>
      <c r="C130" s="250">
        <v>420547.5</v>
      </c>
      <c r="D130" s="206"/>
      <c r="E130" s="214"/>
      <c r="F130" s="250">
        <v>282217.3</v>
      </c>
      <c r="G130" s="206"/>
      <c r="H130" s="214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>
        <v>4800</v>
      </c>
      <c r="B131" s="213" t="s">
        <v>703</v>
      </c>
      <c r="C131" s="250">
        <v>747893.24</v>
      </c>
      <c r="D131" s="206"/>
      <c r="E131" s="214"/>
      <c r="F131" s="250">
        <v>609282.74</v>
      </c>
      <c r="G131" s="206"/>
      <c r="H131" s="214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 ht="14.4">
      <c r="A132" s="215">
        <v>4900</v>
      </c>
      <c r="B132" s="216" t="s">
        <v>770</v>
      </c>
      <c r="C132" s="250">
        <v>195</v>
      </c>
      <c r="D132" s="206"/>
      <c r="E132" s="214"/>
      <c r="F132" s="250">
        <v>0</v>
      </c>
      <c r="G132" s="206"/>
      <c r="H132" s="214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12">
        <v>4990</v>
      </c>
      <c r="B133" s="213" t="s">
        <v>704</v>
      </c>
      <c r="C133" s="250">
        <v>321192.02</v>
      </c>
      <c r="D133" s="206"/>
      <c r="E133" s="214"/>
      <c r="F133" s="250">
        <v>214857.94</v>
      </c>
      <c r="G133" s="206"/>
      <c r="H133" s="214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/>
      <c r="B134" s="213" t="s">
        <v>595</v>
      </c>
      <c r="C134" s="250">
        <f>SUM(C120:C133)</f>
        <v>3095916.4600000004</v>
      </c>
      <c r="D134" s="234">
        <f>C134</f>
        <v>3095916.4600000004</v>
      </c>
      <c r="E134" s="214"/>
      <c r="F134" s="250">
        <f>SUM(F120:F133)</f>
        <v>3174342.5399999996</v>
      </c>
      <c r="G134" s="234">
        <f>F134</f>
        <v>3174342.5399999996</v>
      </c>
      <c r="H134" s="214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/>
      <c r="B135" s="213"/>
      <c r="C135" s="241" t="s">
        <v>374</v>
      </c>
      <c r="D135" s="206"/>
      <c r="E135" s="214"/>
      <c r="F135" s="241"/>
      <c r="G135" s="206"/>
      <c r="H135" s="214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5010</v>
      </c>
      <c r="B136" s="213" t="s">
        <v>596</v>
      </c>
      <c r="C136" s="251">
        <v>362397.02</v>
      </c>
      <c r="D136" s="206"/>
      <c r="E136" s="214"/>
      <c r="F136" s="251">
        <v>362667.04</v>
      </c>
      <c r="G136" s="206"/>
      <c r="H136" s="214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5011</v>
      </c>
      <c r="B137" s="213" t="s">
        <v>597</v>
      </c>
      <c r="C137" s="251">
        <v>318068.40000000002</v>
      </c>
      <c r="D137" s="206"/>
      <c r="E137" s="214"/>
      <c r="F137" s="251">
        <v>312123.2</v>
      </c>
      <c r="G137" s="206"/>
      <c r="H137" s="214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5020</v>
      </c>
      <c r="B138" s="213" t="s">
        <v>599</v>
      </c>
      <c r="C138" s="251">
        <v>0</v>
      </c>
      <c r="D138" s="206"/>
      <c r="E138" s="214"/>
      <c r="F138" s="251">
        <v>43520.03</v>
      </c>
      <c r="G138" s="206"/>
      <c r="H138" s="214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4.4">
      <c r="A139" s="215">
        <v>5090</v>
      </c>
      <c r="B139" s="216" t="s">
        <v>771</v>
      </c>
      <c r="C139" s="251">
        <v>42913.14</v>
      </c>
      <c r="D139" s="206"/>
      <c r="E139" s="214"/>
      <c r="F139" s="251">
        <v>0</v>
      </c>
      <c r="G139" s="206"/>
      <c r="H139" s="214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5250</v>
      </c>
      <c r="B140" s="213" t="s">
        <v>600</v>
      </c>
      <c r="C140" s="251">
        <v>8760</v>
      </c>
      <c r="D140" s="206"/>
      <c r="E140" s="214"/>
      <c r="F140" s="251">
        <v>14719</v>
      </c>
      <c r="G140" s="206"/>
      <c r="H140" s="214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5270</v>
      </c>
      <c r="B141" s="213" t="s">
        <v>601</v>
      </c>
      <c r="C141" s="251">
        <v>4392</v>
      </c>
      <c r="D141" s="206" t="s">
        <v>374</v>
      </c>
      <c r="E141" s="214"/>
      <c r="F141" s="251">
        <v>4392</v>
      </c>
      <c r="G141" s="206"/>
      <c r="H141" s="214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5290</v>
      </c>
      <c r="B142" s="213" t="s">
        <v>602</v>
      </c>
      <c r="C142" s="251">
        <v>-13152</v>
      </c>
      <c r="D142" s="206"/>
      <c r="E142" s="214"/>
      <c r="F142" s="251">
        <v>-14719</v>
      </c>
      <c r="G142" s="206"/>
      <c r="H142" s="214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4.4">
      <c r="A143" s="215">
        <v>5310</v>
      </c>
      <c r="B143" s="216" t="s">
        <v>772</v>
      </c>
      <c r="C143" s="251">
        <v>684.63</v>
      </c>
      <c r="D143" s="206"/>
      <c r="E143" s="214"/>
      <c r="F143" s="251">
        <v>0</v>
      </c>
      <c r="G143" s="206"/>
      <c r="H143" s="214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5330</v>
      </c>
      <c r="B144" s="213" t="s">
        <v>705</v>
      </c>
      <c r="C144" s="251">
        <v>0</v>
      </c>
      <c r="D144" s="206"/>
      <c r="E144" s="214"/>
      <c r="F144" s="251">
        <v>2000</v>
      </c>
      <c r="G144" s="206"/>
      <c r="H144" s="214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5350</v>
      </c>
      <c r="B145" s="213" t="s">
        <v>603</v>
      </c>
      <c r="C145" s="251">
        <v>131869.73000000001</v>
      </c>
      <c r="D145" s="206"/>
      <c r="E145" s="214"/>
      <c r="F145" s="251">
        <v>107604.06</v>
      </c>
      <c r="G145" s="206"/>
      <c r="H145" s="214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5400</v>
      </c>
      <c r="B146" s="213" t="s">
        <v>232</v>
      </c>
      <c r="C146" s="251">
        <v>97888.13</v>
      </c>
      <c r="D146" s="206"/>
      <c r="E146" s="214"/>
      <c r="F146" s="251">
        <v>96857.1</v>
      </c>
      <c r="G146" s="206"/>
      <c r="H146" s="214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5401</v>
      </c>
      <c r="B147" s="213" t="s">
        <v>605</v>
      </c>
      <c r="C147" s="251">
        <v>6131.76</v>
      </c>
      <c r="D147" s="206"/>
      <c r="E147" s="214"/>
      <c r="F147" s="251">
        <v>6136.34</v>
      </c>
      <c r="G147" s="206"/>
      <c r="H147" s="214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5800</v>
      </c>
      <c r="B148" s="213" t="s">
        <v>706</v>
      </c>
      <c r="C148" s="251">
        <v>0</v>
      </c>
      <c r="D148" s="206"/>
      <c r="E148" s="214"/>
      <c r="F148" s="251">
        <v>-8944</v>
      </c>
      <c r="G148" s="206"/>
      <c r="H148" s="214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5801</v>
      </c>
      <c r="B149" s="213" t="s">
        <v>707</v>
      </c>
      <c r="C149" s="251">
        <v>-226</v>
      </c>
      <c r="D149" s="206"/>
      <c r="E149" s="214"/>
      <c r="F149" s="251">
        <v>-8944</v>
      </c>
      <c r="G149" s="206"/>
      <c r="H149" s="214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5802</v>
      </c>
      <c r="B150" s="213" t="s">
        <v>708</v>
      </c>
      <c r="C150" s="251">
        <v>0</v>
      </c>
      <c r="D150" s="206"/>
      <c r="E150" s="214"/>
      <c r="F150" s="251">
        <v>8944</v>
      </c>
      <c r="G150" s="206"/>
      <c r="H150" s="214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5945</v>
      </c>
      <c r="B151" s="213" t="s">
        <v>607</v>
      </c>
      <c r="C151" s="251">
        <v>8208</v>
      </c>
      <c r="D151" s="206"/>
      <c r="E151" s="214"/>
      <c r="F151" s="251">
        <v>14719</v>
      </c>
      <c r="G151" s="206"/>
      <c r="H151" s="214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5990</v>
      </c>
      <c r="B152" s="213" t="s">
        <v>608</v>
      </c>
      <c r="C152" s="251">
        <v>18186.560000000001</v>
      </c>
      <c r="D152" s="206"/>
      <c r="E152" s="214"/>
      <c r="F152" s="251">
        <v>20013.55</v>
      </c>
      <c r="G152" s="226"/>
      <c r="H152" s="214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/>
      <c r="B153" s="213" t="s">
        <v>609</v>
      </c>
      <c r="C153" s="251">
        <f>SUM(C136:C152)</f>
        <v>986121.37000000011</v>
      </c>
      <c r="D153" s="235">
        <f>C153</f>
        <v>986121.37000000011</v>
      </c>
      <c r="E153" s="214"/>
      <c r="F153" s="251">
        <f>SUM(F136:F152)</f>
        <v>961088.32000000007</v>
      </c>
      <c r="G153" s="235">
        <f>F153</f>
        <v>961088.32000000007</v>
      </c>
      <c r="H153" s="214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/>
      <c r="B154" s="213"/>
      <c r="C154" s="241" t="s">
        <v>374</v>
      </c>
      <c r="D154" s="206"/>
      <c r="E154" s="214"/>
      <c r="F154" s="241"/>
      <c r="G154" s="206"/>
      <c r="H154" s="214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6010</v>
      </c>
      <c r="B155" s="213" t="s">
        <v>247</v>
      </c>
      <c r="C155" s="252">
        <v>64769.8</v>
      </c>
      <c r="D155" s="236">
        <f>C155</f>
        <v>64769.8</v>
      </c>
      <c r="E155" s="214"/>
      <c r="F155" s="252">
        <v>138410.51999999999</v>
      </c>
      <c r="G155" s="236">
        <f>F155</f>
        <v>138410.51999999999</v>
      </c>
      <c r="H155" s="214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>
        <v>6110</v>
      </c>
      <c r="B156" s="213" t="s">
        <v>610</v>
      </c>
      <c r="C156" s="246">
        <v>4466.8</v>
      </c>
      <c r="D156" s="206"/>
      <c r="E156" s="214"/>
      <c r="F156" s="246">
        <v>0</v>
      </c>
      <c r="G156" s="206"/>
      <c r="H156" s="214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4">
      <c r="A157" s="215">
        <v>6300</v>
      </c>
      <c r="B157" s="216" t="s">
        <v>773</v>
      </c>
      <c r="C157" s="246">
        <v>77122</v>
      </c>
      <c r="D157" s="206"/>
      <c r="E157" s="214"/>
      <c r="F157" s="246">
        <v>0</v>
      </c>
      <c r="G157" s="206"/>
      <c r="H157" s="214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6320</v>
      </c>
      <c r="B158" s="213" t="s">
        <v>611</v>
      </c>
      <c r="C158" s="246">
        <v>43653.09</v>
      </c>
      <c r="D158" s="206"/>
      <c r="E158" s="214"/>
      <c r="F158" s="246">
        <v>49188.98</v>
      </c>
      <c r="G158" s="206"/>
      <c r="H158" s="214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6340</v>
      </c>
      <c r="B159" s="213" t="s">
        <v>253</v>
      </c>
      <c r="C159" s="246">
        <v>84080.960000000006</v>
      </c>
      <c r="D159" s="206"/>
      <c r="E159" s="214"/>
      <c r="F159" s="246">
        <v>58688.15</v>
      </c>
      <c r="G159" s="206"/>
      <c r="H159" s="214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6390</v>
      </c>
      <c r="B160" s="213" t="s">
        <v>612</v>
      </c>
      <c r="C160" s="246">
        <v>2065</v>
      </c>
      <c r="D160" s="206"/>
      <c r="E160" s="214"/>
      <c r="F160" s="246">
        <v>38606.25</v>
      </c>
      <c r="G160" s="206"/>
      <c r="H160" s="214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4.4">
      <c r="A161" s="215">
        <v>6440</v>
      </c>
      <c r="B161" s="216" t="s">
        <v>774</v>
      </c>
      <c r="C161" s="246">
        <v>52526.67</v>
      </c>
      <c r="D161" s="206"/>
      <c r="E161" s="214"/>
      <c r="F161" s="246">
        <v>0</v>
      </c>
      <c r="G161" s="206"/>
      <c r="H161" s="214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4.4">
      <c r="A162" s="215">
        <v>6490</v>
      </c>
      <c r="B162" s="216" t="s">
        <v>775</v>
      </c>
      <c r="C162" s="246">
        <v>2435</v>
      </c>
      <c r="D162" s="206"/>
      <c r="E162" s="214"/>
      <c r="F162" s="246">
        <v>0</v>
      </c>
      <c r="G162" s="206"/>
      <c r="H162" s="214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6540</v>
      </c>
      <c r="B163" s="213" t="s">
        <v>14</v>
      </c>
      <c r="C163" s="246">
        <v>33600.1</v>
      </c>
      <c r="D163" s="206"/>
      <c r="E163" s="214"/>
      <c r="F163" s="246">
        <v>15793</v>
      </c>
      <c r="G163" s="206"/>
      <c r="H163" s="214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6550</v>
      </c>
      <c r="B164" s="213" t="s">
        <v>616</v>
      </c>
      <c r="C164" s="246">
        <v>36786.400000000001</v>
      </c>
      <c r="D164" s="206"/>
      <c r="E164" s="214"/>
      <c r="F164" s="246">
        <v>13563</v>
      </c>
      <c r="G164" s="206"/>
      <c r="H164" s="214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 ht="14.4">
      <c r="A165" s="215">
        <v>6570</v>
      </c>
      <c r="B165" s="216" t="s">
        <v>776</v>
      </c>
      <c r="C165" s="246">
        <v>1586</v>
      </c>
      <c r="D165" s="206"/>
      <c r="E165" s="214"/>
      <c r="F165" s="246">
        <v>0</v>
      </c>
      <c r="G165" s="206"/>
      <c r="H165" s="214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 ht="14.4">
      <c r="A166" s="215">
        <v>6590</v>
      </c>
      <c r="B166" s="216" t="s">
        <v>777</v>
      </c>
      <c r="C166" s="246">
        <v>530</v>
      </c>
      <c r="D166" s="206"/>
      <c r="E166" s="214"/>
      <c r="F166" s="246">
        <v>0</v>
      </c>
      <c r="G166" s="206"/>
      <c r="H166" s="214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4.4">
      <c r="A167" s="215">
        <v>6600</v>
      </c>
      <c r="B167" s="216" t="s">
        <v>617</v>
      </c>
      <c r="C167" s="246">
        <v>35478</v>
      </c>
      <c r="D167" s="206"/>
      <c r="E167" s="214"/>
      <c r="F167" s="246">
        <v>0</v>
      </c>
      <c r="G167" s="206"/>
      <c r="H167" s="214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6620</v>
      </c>
      <c r="B168" s="213" t="s">
        <v>618</v>
      </c>
      <c r="C168" s="246">
        <v>23608.09</v>
      </c>
      <c r="D168" s="206"/>
      <c r="E168" s="214"/>
      <c r="F168" s="246">
        <v>1984</v>
      </c>
      <c r="G168" s="206"/>
      <c r="H168" s="214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6700</v>
      </c>
      <c r="B169" s="213" t="s">
        <v>619</v>
      </c>
      <c r="C169" s="246">
        <v>77093.75</v>
      </c>
      <c r="D169" s="206"/>
      <c r="E169" s="214"/>
      <c r="F169" s="246">
        <v>79906.25</v>
      </c>
      <c r="G169" s="206"/>
      <c r="H169" s="214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6712</v>
      </c>
      <c r="B170" s="213" t="s">
        <v>620</v>
      </c>
      <c r="C170" s="246">
        <v>410794</v>
      </c>
      <c r="D170" s="206"/>
      <c r="E170" s="214"/>
      <c r="F170" s="246">
        <v>356288</v>
      </c>
      <c r="G170" s="206"/>
      <c r="H170" s="214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6730</v>
      </c>
      <c r="B171" s="213" t="s">
        <v>279</v>
      </c>
      <c r="C171" s="246">
        <v>234450.32</v>
      </c>
      <c r="D171" s="206"/>
      <c r="E171" s="214"/>
      <c r="F171" s="246">
        <v>0</v>
      </c>
      <c r="G171" s="206"/>
      <c r="H171" s="214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6790</v>
      </c>
      <c r="B172" s="213" t="s">
        <v>621</v>
      </c>
      <c r="C172" s="246">
        <v>16000</v>
      </c>
      <c r="D172" s="206"/>
      <c r="E172" s="214"/>
      <c r="F172" s="246">
        <v>8406.25</v>
      </c>
      <c r="G172" s="206"/>
      <c r="H172" s="214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6800</v>
      </c>
      <c r="B173" s="213" t="s">
        <v>287</v>
      </c>
      <c r="C173" s="246">
        <v>5249.45</v>
      </c>
      <c r="D173" s="206"/>
      <c r="E173" s="214"/>
      <c r="F173" s="246">
        <v>1296</v>
      </c>
      <c r="G173" s="206"/>
      <c r="H173" s="214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6810</v>
      </c>
      <c r="B174" s="213" t="s">
        <v>622</v>
      </c>
      <c r="C174" s="246">
        <v>1925.79</v>
      </c>
      <c r="D174" s="206"/>
      <c r="E174" s="214"/>
      <c r="F174" s="246">
        <v>33280.769999999997</v>
      </c>
      <c r="G174" s="206"/>
      <c r="H174" s="214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6811</v>
      </c>
      <c r="B175" s="213" t="s">
        <v>623</v>
      </c>
      <c r="C175" s="246">
        <v>81640.98</v>
      </c>
      <c r="D175" s="206"/>
      <c r="E175" s="214"/>
      <c r="F175" s="246">
        <v>10680.95</v>
      </c>
      <c r="G175" s="206"/>
      <c r="H175" s="214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6820</v>
      </c>
      <c r="B176" s="213" t="s">
        <v>624</v>
      </c>
      <c r="C176" s="246">
        <v>12645.5</v>
      </c>
      <c r="D176" s="206"/>
      <c r="E176" s="214"/>
      <c r="F176" s="246">
        <v>15511</v>
      </c>
      <c r="G176" s="206"/>
      <c r="H176" s="214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6840</v>
      </c>
      <c r="B177" s="213" t="s">
        <v>625</v>
      </c>
      <c r="C177" s="246">
        <v>1359</v>
      </c>
      <c r="D177" s="206"/>
      <c r="E177" s="214"/>
      <c r="F177" s="246">
        <v>2193</v>
      </c>
      <c r="G177" s="206"/>
      <c r="H177" s="214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6860</v>
      </c>
      <c r="B178" s="213" t="s">
        <v>626</v>
      </c>
      <c r="C178" s="246">
        <v>40642.42</v>
      </c>
      <c r="D178" s="206"/>
      <c r="E178" s="214"/>
      <c r="F178" s="246">
        <v>45748.11</v>
      </c>
      <c r="G178" s="206"/>
      <c r="H178" s="214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6900</v>
      </c>
      <c r="B179" s="213" t="s">
        <v>297</v>
      </c>
      <c r="C179" s="246">
        <v>10387.530000000001</v>
      </c>
      <c r="D179" s="206"/>
      <c r="E179" s="214"/>
      <c r="F179" s="246">
        <v>9577.2099999999991</v>
      </c>
      <c r="G179" s="206"/>
      <c r="H179" s="214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6940</v>
      </c>
      <c r="B180" s="213" t="s">
        <v>299</v>
      </c>
      <c r="C180" s="246">
        <v>4208.6899999999996</v>
      </c>
      <c r="D180" s="206"/>
      <c r="E180" s="214"/>
      <c r="F180" s="246">
        <v>812.5</v>
      </c>
      <c r="G180" s="206"/>
      <c r="H180" s="214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 ht="14.4">
      <c r="A181" s="215">
        <v>7000</v>
      </c>
      <c r="B181" s="216" t="s">
        <v>778</v>
      </c>
      <c r="C181" s="246">
        <v>1342.07</v>
      </c>
      <c r="D181" s="206"/>
      <c r="E181" s="214"/>
      <c r="F181" s="246">
        <v>0</v>
      </c>
      <c r="G181" s="206"/>
      <c r="H181" s="214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7100</v>
      </c>
      <c r="B182" s="213" t="s">
        <v>627</v>
      </c>
      <c r="C182" s="246">
        <v>63023.33</v>
      </c>
      <c r="D182" s="206"/>
      <c r="E182" s="214"/>
      <c r="F182" s="246">
        <v>28983.55</v>
      </c>
      <c r="G182" s="206"/>
      <c r="H182" s="214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 ht="14.4">
      <c r="A183" s="215">
        <v>7101</v>
      </c>
      <c r="B183" s="216" t="s">
        <v>779</v>
      </c>
      <c r="C183" s="246">
        <v>776.2</v>
      </c>
      <c r="D183" s="206"/>
      <c r="E183" s="214"/>
      <c r="F183" s="253">
        <v>0</v>
      </c>
      <c r="G183" s="206"/>
      <c r="H183" s="214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7110</v>
      </c>
      <c r="B184" s="213" t="s">
        <v>309</v>
      </c>
      <c r="C184" s="246">
        <v>670</v>
      </c>
      <c r="D184" s="206"/>
      <c r="E184" s="214"/>
      <c r="F184" s="246">
        <v>343</v>
      </c>
      <c r="G184" s="206"/>
      <c r="H184" s="214" t="s">
        <v>374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7140</v>
      </c>
      <c r="B185" s="213" t="s">
        <v>709</v>
      </c>
      <c r="C185" s="246">
        <v>14559.03</v>
      </c>
      <c r="D185" s="206"/>
      <c r="E185" s="214"/>
      <c r="F185" s="246">
        <v>21436.21</v>
      </c>
      <c r="G185" s="206"/>
      <c r="H185" s="214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7150</v>
      </c>
      <c r="B186" s="213" t="s">
        <v>710</v>
      </c>
      <c r="C186" s="246">
        <v>8046</v>
      </c>
      <c r="D186" s="206"/>
      <c r="E186" s="214"/>
      <c r="F186" s="246">
        <v>169</v>
      </c>
      <c r="G186" s="206"/>
      <c r="H186" s="214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7160</v>
      </c>
      <c r="B187" s="213" t="s">
        <v>311</v>
      </c>
      <c r="C187" s="246">
        <v>1000</v>
      </c>
      <c r="D187" s="206"/>
      <c r="E187" s="214"/>
      <c r="F187" s="246">
        <v>352.5</v>
      </c>
      <c r="G187" s="206"/>
      <c r="H187" s="214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7170</v>
      </c>
      <c r="B188" s="213" t="s">
        <v>313</v>
      </c>
      <c r="C188" s="246">
        <v>26580</v>
      </c>
      <c r="D188" s="206"/>
      <c r="E188" s="214"/>
      <c r="F188" s="246">
        <v>45123</v>
      </c>
      <c r="G188" s="206"/>
      <c r="H188" s="214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7180</v>
      </c>
      <c r="B189" s="213" t="s">
        <v>315</v>
      </c>
      <c r="C189" s="246">
        <v>3022.56</v>
      </c>
      <c r="D189" s="206"/>
      <c r="E189" s="214"/>
      <c r="F189" s="246">
        <v>0</v>
      </c>
      <c r="G189" s="206"/>
      <c r="H189" s="214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7300</v>
      </c>
      <c r="B190" s="213" t="s">
        <v>711</v>
      </c>
      <c r="C190" s="246">
        <v>0</v>
      </c>
      <c r="D190" s="206"/>
      <c r="E190" s="214"/>
      <c r="F190" s="246">
        <v>95.32</v>
      </c>
      <c r="G190" s="206"/>
      <c r="H190" s="214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7320</v>
      </c>
      <c r="B191" s="213" t="s">
        <v>629</v>
      </c>
      <c r="C191" s="246">
        <v>26570.67</v>
      </c>
      <c r="D191" s="206"/>
      <c r="E191" s="214"/>
      <c r="F191" s="246">
        <v>6886.5</v>
      </c>
      <c r="G191" s="206"/>
      <c r="H191" s="214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7400</v>
      </c>
      <c r="B192" s="213" t="s">
        <v>712</v>
      </c>
      <c r="C192" s="246">
        <v>1683</v>
      </c>
      <c r="D192" s="206"/>
      <c r="E192" s="214"/>
      <c r="F192" s="246">
        <v>2400</v>
      </c>
      <c r="G192" s="206"/>
      <c r="H192" s="214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7420</v>
      </c>
      <c r="B193" s="213" t="s">
        <v>632</v>
      </c>
      <c r="C193" s="246">
        <v>9267.14</v>
      </c>
      <c r="D193" s="206"/>
      <c r="E193" s="214"/>
      <c r="F193" s="246">
        <v>3563.7</v>
      </c>
      <c r="G193" s="206"/>
      <c r="H193" s="214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7430</v>
      </c>
      <c r="B194" s="213" t="s">
        <v>633</v>
      </c>
      <c r="C194" s="246">
        <v>0</v>
      </c>
      <c r="D194" s="206"/>
      <c r="E194" s="214"/>
      <c r="F194" s="246">
        <v>1815</v>
      </c>
      <c r="G194" s="206"/>
      <c r="H194" s="214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7500</v>
      </c>
      <c r="B195" s="213" t="s">
        <v>634</v>
      </c>
      <c r="C195" s="246">
        <v>98654</v>
      </c>
      <c r="D195" s="206"/>
      <c r="E195" s="214"/>
      <c r="F195" s="246">
        <v>107906</v>
      </c>
      <c r="G195" s="206"/>
      <c r="H195" s="214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7510</v>
      </c>
      <c r="B196" s="213" t="s">
        <v>333</v>
      </c>
      <c r="C196" s="246">
        <v>76630</v>
      </c>
      <c r="D196" s="206"/>
      <c r="E196" s="214"/>
      <c r="F196" s="246">
        <v>0</v>
      </c>
      <c r="G196" s="206"/>
      <c r="H196" s="214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7700</v>
      </c>
      <c r="B197" s="213" t="s">
        <v>635</v>
      </c>
      <c r="C197" s="246">
        <v>39974.14</v>
      </c>
      <c r="D197" s="206"/>
      <c r="E197" s="214"/>
      <c r="F197" s="246">
        <v>28040.79</v>
      </c>
      <c r="G197" s="206"/>
      <c r="H197" s="214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7740</v>
      </c>
      <c r="B198" s="213" t="s">
        <v>636</v>
      </c>
      <c r="C198" s="246">
        <v>-5.92</v>
      </c>
      <c r="D198" s="206"/>
      <c r="E198" s="214"/>
      <c r="F198" s="246">
        <v>0.82</v>
      </c>
      <c r="G198" s="206"/>
      <c r="H198" s="214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4.4">
      <c r="A199" s="215">
        <v>7750</v>
      </c>
      <c r="B199" s="216" t="s">
        <v>780</v>
      </c>
      <c r="C199" s="246">
        <v>48256</v>
      </c>
      <c r="D199" s="206"/>
      <c r="E199" s="214"/>
      <c r="F199" s="246">
        <v>0</v>
      </c>
      <c r="G199" s="206"/>
      <c r="H199" s="214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7770</v>
      </c>
      <c r="B200" s="213" t="s">
        <v>637</v>
      </c>
      <c r="C200" s="246">
        <v>17249.22</v>
      </c>
      <c r="D200" s="206"/>
      <c r="E200" s="214"/>
      <c r="F200" s="246">
        <v>14598.59</v>
      </c>
      <c r="G200" s="206"/>
      <c r="H200" s="214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7790</v>
      </c>
      <c r="B201" s="213" t="s">
        <v>638</v>
      </c>
      <c r="C201" s="246">
        <v>30469</v>
      </c>
      <c r="D201" s="206"/>
      <c r="E201" s="214"/>
      <c r="F201" s="246">
        <v>23453.25</v>
      </c>
      <c r="G201" s="206"/>
      <c r="H201" s="214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7792</v>
      </c>
      <c r="B202" s="213" t="s">
        <v>343</v>
      </c>
      <c r="C202" s="246">
        <v>28047.91</v>
      </c>
      <c r="D202" s="206"/>
      <c r="E202" s="214"/>
      <c r="F202" s="246">
        <f>-9243.84-0.17</f>
        <v>-9244.01</v>
      </c>
      <c r="G202" s="206"/>
      <c r="H202" s="214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7831</v>
      </c>
      <c r="B203" s="218" t="s">
        <v>713</v>
      </c>
      <c r="C203" s="246">
        <v>19432</v>
      </c>
      <c r="D203" s="206"/>
      <c r="E203" s="214"/>
      <c r="F203" s="246">
        <v>80793.22</v>
      </c>
      <c r="G203" s="206"/>
      <c r="H203" s="214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23" t="s">
        <v>374</v>
      </c>
      <c r="B204" s="213" t="s">
        <v>655</v>
      </c>
      <c r="C204" s="246">
        <f>SUM(C156:C203)</f>
        <v>1809581.89</v>
      </c>
      <c r="D204" s="230">
        <f>C204</f>
        <v>1809581.89</v>
      </c>
      <c r="E204" s="214"/>
      <c r="F204" s="246">
        <f>SUM(F156:F203)</f>
        <v>1098239.8599999999</v>
      </c>
      <c r="G204" s="230">
        <f>F204</f>
        <v>1098239.8599999999</v>
      </c>
      <c r="H204" s="214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/>
      <c r="B205" s="213"/>
      <c r="C205" s="241" t="s">
        <v>374</v>
      </c>
      <c r="D205" s="206"/>
      <c r="E205" s="214"/>
      <c r="F205" s="241"/>
      <c r="G205" s="206"/>
      <c r="H205" s="214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8050</v>
      </c>
      <c r="B206" s="213" t="s">
        <v>640</v>
      </c>
      <c r="C206" s="250">
        <v>-4200.1000000000004</v>
      </c>
      <c r="D206" s="206"/>
      <c r="E206" s="214"/>
      <c r="F206" s="250">
        <v>-35225.019999999997</v>
      </c>
      <c r="G206" s="206"/>
      <c r="H206" s="214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 ht="14.4">
      <c r="A207" s="215">
        <v>8060</v>
      </c>
      <c r="B207" s="216" t="s">
        <v>781</v>
      </c>
      <c r="C207" s="250">
        <v>-50.1</v>
      </c>
      <c r="D207" s="234">
        <f>SUM(C206:C207)</f>
        <v>-4250.2000000000007</v>
      </c>
      <c r="E207" s="214"/>
      <c r="F207" s="250">
        <v>0</v>
      </c>
      <c r="G207" s="234">
        <f>SUM(F206:F207)</f>
        <v>-35225.019999999997</v>
      </c>
      <c r="H207" s="214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4.4">
      <c r="A208" s="215">
        <v>8150</v>
      </c>
      <c r="B208" s="216" t="s">
        <v>782</v>
      </c>
      <c r="C208" s="254">
        <v>1094.69</v>
      </c>
      <c r="D208" s="206"/>
      <c r="E208" s="214"/>
      <c r="F208" s="254">
        <v>0</v>
      </c>
      <c r="G208" s="232"/>
      <c r="H208" s="214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8153</v>
      </c>
      <c r="B209" s="213" t="s">
        <v>641</v>
      </c>
      <c r="C209" s="254">
        <v>1037.21</v>
      </c>
      <c r="D209" s="237">
        <f>SUM(C208:C209)</f>
        <v>2131.9</v>
      </c>
      <c r="E209" s="214">
        <f>SUM(D134:D209)</f>
        <v>5954271.2200000007</v>
      </c>
      <c r="F209" s="254">
        <v>1198.5999999999999</v>
      </c>
      <c r="G209" s="237">
        <f>SUM(F208:F209)</f>
        <v>1198.5999999999999</v>
      </c>
      <c r="H209" s="214">
        <f>SUM(G134:G209)</f>
        <v>5338054.8199999984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 ht="13.8" thickBot="1">
      <c r="A210" s="222" t="s">
        <v>374</v>
      </c>
      <c r="B210" s="219" t="s">
        <v>642</v>
      </c>
      <c r="C210" s="255">
        <f>SUM(C205:C209)</f>
        <v>-2118.3000000000006</v>
      </c>
      <c r="D210" s="220"/>
      <c r="E210" s="221"/>
      <c r="F210" s="255">
        <f>SUM(F206:F209)</f>
        <v>-34026.42</v>
      </c>
      <c r="G210" s="220"/>
      <c r="H210" s="221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C211" s="23" t="s">
        <v>374</v>
      </c>
      <c r="D211" s="23" t="s">
        <v>790</v>
      </c>
      <c r="E211" s="23"/>
      <c r="F211" s="23"/>
      <c r="G211" s="23"/>
      <c r="H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C212" s="23" t="s">
        <v>374</v>
      </c>
      <c r="D212" s="23"/>
      <c r="E212" s="23"/>
      <c r="F212" s="23"/>
      <c r="G212" s="23"/>
      <c r="H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C213" s="23">
        <v>0</v>
      </c>
      <c r="D213" s="23"/>
      <c r="E213" s="23"/>
      <c r="F213" s="23"/>
      <c r="G213" s="23"/>
      <c r="H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C214" s="23" t="s">
        <v>374</v>
      </c>
      <c r="D214" s="23"/>
      <c r="E214" s="23"/>
      <c r="F214" s="23"/>
      <c r="G214" s="23"/>
      <c r="H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C215" s="23" t="s">
        <v>374</v>
      </c>
      <c r="F215" s="23"/>
      <c r="G215" s="23"/>
      <c r="H215" s="23"/>
    </row>
    <row r="216" spans="1:28">
      <c r="F216" s="23"/>
      <c r="G216" s="23"/>
      <c r="H216" s="23"/>
    </row>
    <row r="217" spans="1:28">
      <c r="F217" s="23"/>
      <c r="G217" s="23"/>
      <c r="H217" s="23"/>
    </row>
    <row r="218" spans="1:28">
      <c r="F218" s="23"/>
      <c r="G218" s="23"/>
      <c r="H218" s="23"/>
    </row>
    <row r="219" spans="1:28">
      <c r="F219" s="23"/>
      <c r="G219" s="23"/>
      <c r="H219" s="23"/>
    </row>
    <row r="220" spans="1:28">
      <c r="F220" s="23"/>
      <c r="G220" s="23"/>
      <c r="H220" s="23"/>
    </row>
    <row r="221" spans="1:28">
      <c r="F221" s="23"/>
      <c r="G221" s="23"/>
      <c r="H221" s="23"/>
    </row>
    <row r="222" spans="1:28">
      <c r="F222" s="23"/>
      <c r="G222" s="23"/>
      <c r="H222" s="23"/>
    </row>
    <row r="223" spans="1:28">
      <c r="F223" s="23"/>
      <c r="G223" s="23"/>
      <c r="H223" s="23"/>
    </row>
    <row r="224" spans="1:28">
      <c r="F224" s="23"/>
      <c r="G224" s="23"/>
      <c r="H224" s="23"/>
    </row>
    <row r="225" spans="6:8">
      <c r="F225" s="23"/>
      <c r="G225" s="23"/>
      <c r="H225" s="23"/>
    </row>
    <row r="226" spans="6:8">
      <c r="F226" s="23"/>
      <c r="G226" s="23"/>
      <c r="H226" s="23"/>
    </row>
    <row r="227" spans="6:8">
      <c r="F227" s="23"/>
      <c r="G227" s="23"/>
      <c r="H227" s="23"/>
    </row>
    <row r="228" spans="6:8">
      <c r="F228" s="23"/>
      <c r="G228" s="23"/>
      <c r="H228" s="23"/>
    </row>
    <row r="229" spans="6:8">
      <c r="F229" s="23"/>
      <c r="G229" s="23"/>
      <c r="H229" s="23"/>
    </row>
    <row r="230" spans="6:8">
      <c r="F230" s="23"/>
      <c r="G230" s="23"/>
      <c r="H230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topLeftCell="A46" workbookViewId="0">
      <selection activeCell="G76" sqref="G76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4" ht="23.4">
      <c r="A1" s="2" t="s">
        <v>670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4" t="s">
        <v>376</v>
      </c>
      <c r="C6" s="375" t="s">
        <v>377</v>
      </c>
      <c r="D6" s="375"/>
    </row>
    <row r="7" spans="1:4">
      <c r="B7" s="104"/>
      <c r="C7" s="104" t="s">
        <v>672</v>
      </c>
      <c r="D7" s="104" t="s">
        <v>645</v>
      </c>
    </row>
    <row r="8" spans="1:4">
      <c r="A8" s="3" t="s">
        <v>379</v>
      </c>
      <c r="B8" s="104" t="s">
        <v>374</v>
      </c>
      <c r="C8" s="141"/>
      <c r="D8" s="141"/>
    </row>
    <row r="9" spans="1:4">
      <c r="A9" t="s">
        <v>423</v>
      </c>
      <c r="B9" s="104"/>
      <c r="C9" s="170">
        <f>'Saldobalanse 2016'!G102*-1</f>
        <v>323600</v>
      </c>
      <c r="D9" s="170">
        <v>532597.46</v>
      </c>
    </row>
    <row r="10" spans="1:4">
      <c r="A10" t="s">
        <v>424</v>
      </c>
      <c r="B10" s="104"/>
      <c r="C10" s="170">
        <f>'Saldobalanse 2016'!G112*-1</f>
        <v>1267162.3</v>
      </c>
      <c r="D10" s="170">
        <v>1537878.4</v>
      </c>
    </row>
    <row r="11" spans="1:4">
      <c r="A11" t="s">
        <v>425</v>
      </c>
      <c r="B11" s="104"/>
      <c r="C11" s="170">
        <f>'Saldobalanse 2016'!G107*-1</f>
        <v>199530</v>
      </c>
      <c r="D11" s="170">
        <v>182263.75</v>
      </c>
    </row>
    <row r="12" spans="1:4">
      <c r="A12" t="s">
        <v>220</v>
      </c>
      <c r="B12" s="104"/>
      <c r="C12" s="171">
        <f>'Saldobalanse 2016'!G117*-1</f>
        <v>3040236.8300000005</v>
      </c>
      <c r="D12" s="171">
        <v>2593677.94</v>
      </c>
    </row>
    <row r="13" spans="1:4">
      <c r="A13" s="3" t="s">
        <v>381</v>
      </c>
      <c r="B13" s="104"/>
      <c r="C13" s="172">
        <f>SUM(C9:C12)</f>
        <v>4830529.1300000008</v>
      </c>
      <c r="D13" s="172">
        <v>4846417.55</v>
      </c>
    </row>
    <row r="14" spans="1:4">
      <c r="B14" s="104"/>
      <c r="C14" s="170"/>
      <c r="D14" s="170"/>
    </row>
    <row r="15" spans="1:4">
      <c r="A15" s="3" t="s">
        <v>382</v>
      </c>
      <c r="B15" s="104"/>
      <c r="C15" s="170"/>
      <c r="D15" s="170"/>
    </row>
    <row r="16" spans="1:4">
      <c r="A16" t="s">
        <v>383</v>
      </c>
      <c r="B16" s="104" t="s">
        <v>374</v>
      </c>
      <c r="C16" s="170">
        <f>'Saldobalanse 2016'!G134</f>
        <v>3174342.5399999996</v>
      </c>
      <c r="D16" s="170">
        <v>347854.61</v>
      </c>
    </row>
    <row r="17" spans="1:4">
      <c r="A17" s="139" t="s">
        <v>247</v>
      </c>
      <c r="B17" s="140"/>
      <c r="C17" s="173">
        <f>'Saldobalanse 2016'!G155</f>
        <v>138410.51999999999</v>
      </c>
      <c r="D17" s="173">
        <v>98436</v>
      </c>
    </row>
    <row r="18" spans="1:4">
      <c r="A18" t="s">
        <v>384</v>
      </c>
      <c r="B18" s="104" t="s">
        <v>374</v>
      </c>
      <c r="C18" s="170">
        <f>'Saldobalanse 2016'!G153</f>
        <v>961088.32000000007</v>
      </c>
      <c r="D18" s="170">
        <v>1476744.5099999998</v>
      </c>
    </row>
    <row r="19" spans="1:4">
      <c r="A19" t="s">
        <v>385</v>
      </c>
      <c r="B19" s="104"/>
      <c r="C19" s="171">
        <f>'Saldobalanse 2016'!G204</f>
        <v>1098239.8599999999</v>
      </c>
      <c r="D19" s="171">
        <v>3245914.82</v>
      </c>
    </row>
    <row r="20" spans="1:4">
      <c r="A20" s="3" t="s">
        <v>386</v>
      </c>
      <c r="B20" s="104"/>
      <c r="C20" s="172">
        <f>SUM(C16:C19)</f>
        <v>5372081.2400000002</v>
      </c>
      <c r="D20" s="172">
        <v>5070513.9399999995</v>
      </c>
    </row>
    <row r="21" spans="1:4">
      <c r="B21" s="104"/>
      <c r="C21" s="170"/>
      <c r="D21" s="170"/>
    </row>
    <row r="22" spans="1:4">
      <c r="A22" s="3" t="s">
        <v>387</v>
      </c>
      <c r="B22" s="104"/>
      <c r="C22" s="172">
        <f>C13-C20</f>
        <v>-541552.1099999994</v>
      </c>
      <c r="D22" s="172">
        <v>-224096.38999999966</v>
      </c>
    </row>
    <row r="23" spans="1:4">
      <c r="B23" s="104"/>
      <c r="C23" s="170"/>
      <c r="D23" s="170"/>
    </row>
    <row r="24" spans="1:4">
      <c r="A24" s="3" t="s">
        <v>388</v>
      </c>
      <c r="B24" s="104"/>
      <c r="C24" s="170"/>
      <c r="D24" s="170"/>
    </row>
    <row r="25" spans="1:4">
      <c r="A25" t="s">
        <v>389</v>
      </c>
      <c r="B25" s="104"/>
      <c r="C25" s="170">
        <f>'Saldobalanse 2016'!G207*-1</f>
        <v>35225.019999999997</v>
      </c>
      <c r="D25" s="170">
        <v>54474.15</v>
      </c>
    </row>
    <row r="26" spans="1:4">
      <c r="A26" t="s">
        <v>390</v>
      </c>
      <c r="B26" s="104"/>
      <c r="C26" s="171">
        <f>'Saldobalanse 2016'!G209</f>
        <v>1198.5999999999999</v>
      </c>
      <c r="D26" s="171">
        <v>1744.68</v>
      </c>
    </row>
    <row r="27" spans="1:4">
      <c r="A27" s="3" t="s">
        <v>391</v>
      </c>
      <c r="B27" s="104"/>
      <c r="C27" s="172">
        <f>C25-C26</f>
        <v>34026.42</v>
      </c>
      <c r="D27" s="172">
        <v>52729.47</v>
      </c>
    </row>
    <row r="28" spans="1:4">
      <c r="A28" s="3"/>
      <c r="B28" s="104"/>
      <c r="C28" s="172"/>
      <c r="D28" s="172"/>
    </row>
    <row r="29" spans="1:4">
      <c r="A29" s="3" t="s">
        <v>392</v>
      </c>
      <c r="B29" s="104"/>
      <c r="C29" s="172">
        <f>C22+C27</f>
        <v>-507525.68999999942</v>
      </c>
      <c r="D29" s="172">
        <v>-171366.91999999966</v>
      </c>
    </row>
    <row r="30" spans="1:4">
      <c r="B30" s="104"/>
      <c r="C30" s="170"/>
      <c r="D30" s="170"/>
    </row>
    <row r="31" spans="1:4">
      <c r="A31" s="3" t="s">
        <v>393</v>
      </c>
      <c r="B31" s="104"/>
      <c r="C31" s="170"/>
      <c r="D31" s="170"/>
    </row>
    <row r="32" spans="1:4">
      <c r="A32" t="s">
        <v>394</v>
      </c>
      <c r="B32" s="104"/>
      <c r="C32" s="171">
        <f>C29</f>
        <v>-507525.68999999942</v>
      </c>
      <c r="D32" s="171">
        <v>-171366.91999999966</v>
      </c>
    </row>
    <row r="33" spans="1:4">
      <c r="A33" s="3" t="s">
        <v>395</v>
      </c>
      <c r="B33" s="104"/>
      <c r="C33" s="172">
        <f>SUM(C32)</f>
        <v>-507525.68999999942</v>
      </c>
      <c r="D33" s="172">
        <v>-171366.91999999966</v>
      </c>
    </row>
    <row r="34" spans="1:4">
      <c r="B34" s="104"/>
      <c r="C34" s="170"/>
      <c r="D34" s="170"/>
    </row>
    <row r="35" spans="1:4">
      <c r="B35" s="104"/>
      <c r="C35" s="170"/>
      <c r="D35" s="170"/>
    </row>
    <row r="36" spans="1:4">
      <c r="B36" s="104"/>
      <c r="C36" s="170"/>
      <c r="D36" s="170"/>
    </row>
    <row r="37" spans="1:4" ht="23.4">
      <c r="A37" s="2" t="s">
        <v>671</v>
      </c>
      <c r="B37" s="104"/>
      <c r="C37" s="141"/>
      <c r="D37" s="141"/>
    </row>
    <row r="38" spans="1:4" s="4" customFormat="1">
      <c r="B38" s="104"/>
      <c r="C38" s="174"/>
      <c r="D38" s="174"/>
    </row>
    <row r="39" spans="1:4" s="4" customFormat="1">
      <c r="B39" s="104"/>
      <c r="C39" s="376" t="s">
        <v>396</v>
      </c>
      <c r="D39" s="376"/>
    </row>
    <row r="40" spans="1:4">
      <c r="B40" s="104" t="s">
        <v>376</v>
      </c>
      <c r="C40" s="175" t="s">
        <v>672</v>
      </c>
      <c r="D40" s="175" t="s">
        <v>645</v>
      </c>
    </row>
    <row r="41" spans="1:4">
      <c r="A41" s="3" t="s">
        <v>397</v>
      </c>
      <c r="B41" s="104"/>
      <c r="C41" s="141"/>
      <c r="D41" s="141"/>
    </row>
    <row r="42" spans="1:4">
      <c r="A42" s="3" t="s">
        <v>398</v>
      </c>
      <c r="B42" s="104"/>
      <c r="C42" s="176"/>
      <c r="D42" s="176"/>
    </row>
    <row r="43" spans="1:4" s="16" customFormat="1">
      <c r="A43" s="15" t="s">
        <v>428</v>
      </c>
      <c r="B43" s="104" t="s">
        <v>521</v>
      </c>
      <c r="C43" s="177">
        <f>'Saldobalanse 2016'!G3</f>
        <v>0</v>
      </c>
      <c r="D43" s="178">
        <v>94379.58</v>
      </c>
    </row>
    <row r="44" spans="1:4">
      <c r="A44" s="10" t="s">
        <v>399</v>
      </c>
      <c r="B44" s="104" t="s">
        <v>522</v>
      </c>
      <c r="C44" s="170">
        <f>'Saldobalanse 2016'!G6</f>
        <v>1352719.8</v>
      </c>
      <c r="D44" s="179">
        <v>1379295.8</v>
      </c>
    </row>
    <row r="45" spans="1:4">
      <c r="A45" s="10" t="s">
        <v>429</v>
      </c>
      <c r="B45" s="104" t="s">
        <v>405</v>
      </c>
      <c r="C45" s="171">
        <f>'Saldobalanse 2016'!G10</f>
        <v>210880</v>
      </c>
      <c r="D45" s="171">
        <v>7665.83</v>
      </c>
    </row>
    <row r="46" spans="1:4">
      <c r="A46" s="3" t="s">
        <v>400</v>
      </c>
      <c r="B46" s="104"/>
      <c r="C46" s="172">
        <f>SUM(C43:C45)</f>
        <v>1563599.8</v>
      </c>
      <c r="D46" s="172">
        <v>1481341.2100000002</v>
      </c>
    </row>
    <row r="47" spans="1:4">
      <c r="B47" s="104"/>
      <c r="C47" s="170"/>
      <c r="D47" s="170"/>
    </row>
    <row r="48" spans="1:4">
      <c r="A48" s="3" t="s">
        <v>401</v>
      </c>
      <c r="B48" s="104"/>
      <c r="C48" s="141"/>
      <c r="D48" s="170"/>
    </row>
    <row r="49" spans="1:4">
      <c r="A49" t="s">
        <v>402</v>
      </c>
      <c r="B49" s="104" t="s">
        <v>380</v>
      </c>
      <c r="C49" s="170">
        <f>'Saldobalanse 2016'!G11</f>
        <v>48127</v>
      </c>
      <c r="D49" s="170">
        <v>67310.5</v>
      </c>
    </row>
    <row r="50" spans="1:4">
      <c r="A50" t="s">
        <v>22</v>
      </c>
      <c r="B50" s="104" t="s">
        <v>380</v>
      </c>
      <c r="C50" s="170">
        <f>'Saldobalanse 2016'!G14</f>
        <v>85930</v>
      </c>
      <c r="D50" s="170">
        <v>124704</v>
      </c>
    </row>
    <row r="51" spans="1:4">
      <c r="A51" t="s">
        <v>403</v>
      </c>
      <c r="B51" s="104" t="s">
        <v>380</v>
      </c>
      <c r="C51" s="170">
        <f>'Saldobalanse 2016'!G19</f>
        <v>127820.86</v>
      </c>
      <c r="D51" s="170">
        <v>63123.97</v>
      </c>
    </row>
    <row r="52" spans="1:4">
      <c r="A52" t="s">
        <v>404</v>
      </c>
      <c r="B52" s="104" t="s">
        <v>409</v>
      </c>
      <c r="C52" s="171">
        <f>'Saldobalanse 2016'!G33</f>
        <v>1576200.6199999999</v>
      </c>
      <c r="D52" s="171">
        <v>1872155.7599999998</v>
      </c>
    </row>
    <row r="53" spans="1:4">
      <c r="A53" s="3" t="s">
        <v>406</v>
      </c>
      <c r="B53" s="104"/>
      <c r="C53" s="172">
        <f>SUM(C49:C52)</f>
        <v>1838078.48</v>
      </c>
      <c r="D53" s="172">
        <v>2127294.23</v>
      </c>
    </row>
    <row r="54" spans="1:4">
      <c r="B54" s="104"/>
      <c r="C54" s="170"/>
      <c r="D54" s="170"/>
    </row>
    <row r="55" spans="1:4">
      <c r="A55" s="3" t="s">
        <v>407</v>
      </c>
      <c r="B55" s="104"/>
      <c r="C55" s="172">
        <f>C46+C53</f>
        <v>3401678.2800000003</v>
      </c>
      <c r="D55" s="172">
        <v>3608635.4400000004</v>
      </c>
    </row>
    <row r="56" spans="1:4">
      <c r="B56" s="104"/>
      <c r="C56" s="141"/>
      <c r="D56" s="170"/>
    </row>
    <row r="57" spans="1:4">
      <c r="B57" s="104"/>
      <c r="C57" s="141"/>
      <c r="D57" s="170"/>
    </row>
    <row r="58" spans="1:4" ht="21">
      <c r="A58" s="98" t="str">
        <f>A37</f>
        <v>Balanse pr 31.12.2015 for Oslostudentenes Idrettsklubb</v>
      </c>
      <c r="B58" s="104"/>
      <c r="C58" s="141"/>
      <c r="D58" s="170"/>
    </row>
    <row r="59" spans="1:4">
      <c r="B59" s="104"/>
      <c r="C59" s="141"/>
      <c r="D59" s="170"/>
    </row>
    <row r="60" spans="1:4">
      <c r="B60" s="104"/>
      <c r="C60" s="377" t="s">
        <v>396</v>
      </c>
      <c r="D60" s="377"/>
    </row>
    <row r="61" spans="1:4">
      <c r="B61" s="104" t="s">
        <v>376</v>
      </c>
      <c r="C61" s="180" t="str">
        <f>C40</f>
        <v>2 0 1 5</v>
      </c>
      <c r="D61" s="181" t="str">
        <f>D40</f>
        <v>2 0 1 4</v>
      </c>
    </row>
    <row r="62" spans="1:4">
      <c r="A62" s="3" t="s">
        <v>408</v>
      </c>
      <c r="B62" s="104"/>
      <c r="C62" s="141"/>
      <c r="D62" s="170"/>
    </row>
    <row r="63" spans="1:4">
      <c r="A63" s="16" t="s">
        <v>431</v>
      </c>
      <c r="B63" s="104" t="s">
        <v>414</v>
      </c>
      <c r="C63" s="170">
        <f>'Saldobalanse 2016'!G72</f>
        <v>-637309.85000000009</v>
      </c>
      <c r="D63" s="170">
        <v>-637309.85000000009</v>
      </c>
    </row>
    <row r="64" spans="1:4">
      <c r="A64" s="16" t="s">
        <v>432</v>
      </c>
      <c r="B64" s="104"/>
      <c r="C64" s="171">
        <f>'Saldobalanse 2015'!N80</f>
        <v>-636737.78000000236</v>
      </c>
      <c r="D64" s="171">
        <v>-1144263.4700000011</v>
      </c>
    </row>
    <row r="65" spans="1:4">
      <c r="A65" s="3" t="s">
        <v>410</v>
      </c>
      <c r="B65" s="104"/>
      <c r="C65" s="172">
        <f>SUM(C63:C64)</f>
        <v>-1274047.6300000024</v>
      </c>
      <c r="D65" s="172">
        <v>-1781573.3200000012</v>
      </c>
    </row>
    <row r="66" spans="1:4">
      <c r="B66" s="104"/>
      <c r="C66" s="141"/>
      <c r="D66" s="170"/>
    </row>
    <row r="67" spans="1:4">
      <c r="A67" s="3" t="s">
        <v>411</v>
      </c>
      <c r="B67" s="104"/>
      <c r="C67" s="141"/>
      <c r="D67" s="170"/>
    </row>
    <row r="68" spans="1:4">
      <c r="A68" s="16" t="s">
        <v>433</v>
      </c>
      <c r="B68" s="104" t="s">
        <v>522</v>
      </c>
      <c r="C68" s="170">
        <f>'Saldobalanse 2016'!G87</f>
        <v>-20000</v>
      </c>
      <c r="D68" s="170">
        <v>-20000</v>
      </c>
    </row>
    <row r="69" spans="1:4">
      <c r="A69" t="s">
        <v>413</v>
      </c>
      <c r="B69" s="104" t="s">
        <v>522</v>
      </c>
      <c r="C69" s="171">
        <f>'Saldobalanse 2016'!G83</f>
        <v>-1312790</v>
      </c>
      <c r="D69" s="171">
        <v>-1312790</v>
      </c>
    </row>
    <row r="70" spans="1:4">
      <c r="A70" s="3" t="s">
        <v>415</v>
      </c>
      <c r="B70" s="104"/>
      <c r="C70" s="172">
        <f>SUM(C68:C69)</f>
        <v>-1332790</v>
      </c>
      <c r="D70" s="172">
        <v>-1332790</v>
      </c>
    </row>
    <row r="71" spans="1:4">
      <c r="B71" s="104"/>
      <c r="C71" s="141"/>
      <c r="D71" s="170"/>
    </row>
    <row r="72" spans="1:4">
      <c r="A72" s="3" t="s">
        <v>416</v>
      </c>
      <c r="B72" s="104"/>
      <c r="C72" s="141"/>
      <c r="D72" s="170"/>
    </row>
    <row r="73" spans="1:4">
      <c r="A73" t="s">
        <v>144</v>
      </c>
      <c r="B73" s="104"/>
      <c r="C73" s="170">
        <f>'Saldobalanse 2016'!G84</f>
        <v>-322378.44</v>
      </c>
      <c r="D73" s="170">
        <v>-267059.56</v>
      </c>
    </row>
    <row r="74" spans="1:4">
      <c r="A74" t="s">
        <v>417</v>
      </c>
      <c r="B74" s="104" t="s">
        <v>409</v>
      </c>
      <c r="C74" s="170">
        <f>'Saldobalanse 2016'!G89</f>
        <v>-56117</v>
      </c>
      <c r="D74" s="170">
        <v>-65768</v>
      </c>
    </row>
    <row r="75" spans="1:4">
      <c r="A75" t="s">
        <v>146</v>
      </c>
      <c r="B75" s="104" t="s">
        <v>374</v>
      </c>
      <c r="C75" s="171">
        <f>'Saldobalanse 2016'!G95</f>
        <v>-416345.21</v>
      </c>
      <c r="D75" s="171">
        <v>-161444.56</v>
      </c>
    </row>
    <row r="76" spans="1:4">
      <c r="A76" s="3" t="s">
        <v>418</v>
      </c>
      <c r="B76" s="104"/>
      <c r="C76" s="172">
        <f>SUM(C73:C75)</f>
        <v>-794840.65</v>
      </c>
      <c r="D76" s="172">
        <v>-494272.12</v>
      </c>
    </row>
    <row r="77" spans="1:4">
      <c r="B77" s="104"/>
      <c r="C77" s="141"/>
      <c r="D77" s="170"/>
    </row>
    <row r="78" spans="1:4">
      <c r="A78" s="3" t="s">
        <v>419</v>
      </c>
      <c r="B78" s="104"/>
      <c r="C78" s="172">
        <f>C65+C70+C76</f>
        <v>-3401678.2800000026</v>
      </c>
      <c r="D78" s="172">
        <v>-3608635.4400000013</v>
      </c>
    </row>
    <row r="79" spans="1:4">
      <c r="C79" s="141"/>
      <c r="D79" s="141"/>
    </row>
    <row r="80" spans="1:4">
      <c r="B80" s="3" t="s">
        <v>673</v>
      </c>
    </row>
    <row r="82" spans="1:4" ht="13.2">
      <c r="A82" s="95" t="s">
        <v>536</v>
      </c>
      <c r="B82" s="96" t="s">
        <v>420</v>
      </c>
      <c r="D82" s="96" t="s">
        <v>420</v>
      </c>
    </row>
    <row r="83" spans="1:4" ht="13.2">
      <c r="A83" s="95"/>
      <c r="B83" s="96"/>
      <c r="D83" s="96"/>
    </row>
    <row r="84" spans="1:4" ht="13.2">
      <c r="A84" s="95" t="s">
        <v>420</v>
      </c>
      <c r="B84" s="96" t="s">
        <v>420</v>
      </c>
      <c r="D84" s="96" t="s">
        <v>420</v>
      </c>
    </row>
    <row r="85" spans="1:4" ht="13.2">
      <c r="A85" s="11"/>
      <c r="B85" s="11"/>
      <c r="C85" s="16" t="s">
        <v>374</v>
      </c>
      <c r="D85" s="11"/>
    </row>
    <row r="86" spans="1:4" ht="13.2">
      <c r="A86" s="11" t="s">
        <v>420</v>
      </c>
      <c r="B86" s="97" t="s">
        <v>420</v>
      </c>
      <c r="D86" s="97" t="s">
        <v>420</v>
      </c>
    </row>
    <row r="87" spans="1:4" ht="13.2">
      <c r="A87" s="11"/>
      <c r="B87" s="12"/>
      <c r="C87" s="11"/>
      <c r="D87" s="11"/>
    </row>
    <row r="88" spans="1:4" ht="13.2">
      <c r="A88" s="11" t="s">
        <v>420</v>
      </c>
      <c r="B88" s="13" t="s">
        <v>420</v>
      </c>
      <c r="C88" s="11"/>
      <c r="D88" s="97" t="s">
        <v>420</v>
      </c>
    </row>
    <row r="89" spans="1:4" ht="13.2">
      <c r="A89" s="11"/>
      <c r="B89" s="12"/>
      <c r="C89" s="11"/>
    </row>
    <row r="90" spans="1:4" ht="13.2">
      <c r="A90" s="11"/>
      <c r="B90" s="12"/>
      <c r="C90" s="11"/>
    </row>
    <row r="91" spans="1:4" ht="13.2">
      <c r="A91" s="11"/>
      <c r="B91" s="12"/>
      <c r="C91" s="11"/>
      <c r="D91" s="11"/>
    </row>
    <row r="92" spans="1:4" ht="13.2">
      <c r="A92" s="11"/>
      <c r="B92" s="12"/>
      <c r="C92" s="11"/>
      <c r="D92" s="11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3"/>
    </row>
    <row r="95" spans="1:4" ht="13.2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9:D39"/>
    <mergeCell ref="C60:D60"/>
  </mergeCells>
  <pageMargins left="0.7" right="0.7" top="0.75" bottom="0.75" header="0.3" footer="0.3"/>
  <pageSetup paperSize="9" orientation="portrait" r:id="rId1"/>
  <rowBreaks count="2" manualBreakCount="2">
    <brk id="34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2EB8-055B-4701-9143-C6AB81ED0162}">
  <dimension ref="A1:F96"/>
  <sheetViews>
    <sheetView tabSelected="1" topLeftCell="A70" workbookViewId="0">
      <selection activeCell="I84" sqref="I84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6" ht="23.4">
      <c r="A1" s="2" t="s">
        <v>972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59" t="s">
        <v>376</v>
      </c>
      <c r="C6" s="375" t="s">
        <v>377</v>
      </c>
      <c r="D6" s="375"/>
    </row>
    <row r="7" spans="1:6">
      <c r="B7" s="359"/>
      <c r="C7" s="359">
        <v>2021</v>
      </c>
      <c r="D7" s="359">
        <v>2020</v>
      </c>
    </row>
    <row r="8" spans="1:6">
      <c r="A8" s="3" t="s">
        <v>379</v>
      </c>
      <c r="B8" s="359" t="s">
        <v>374</v>
      </c>
      <c r="C8" s="141"/>
      <c r="D8" s="141"/>
    </row>
    <row r="9" spans="1:6">
      <c r="A9" t="s">
        <v>423</v>
      </c>
      <c r="B9" s="359"/>
      <c r="C9" s="170">
        <f>'Saldobalanse 2021'!D120*-1</f>
        <v>2227620</v>
      </c>
      <c r="D9" s="170">
        <f>'Saldobalanse 2021'!G120*-1</f>
        <v>1530330</v>
      </c>
    </row>
    <row r="10" spans="1:6">
      <c r="A10" t="s">
        <v>424</v>
      </c>
      <c r="B10" s="359"/>
      <c r="C10" s="170">
        <f>'Saldobalanse 2021'!D133*-1</f>
        <v>1477638.43</v>
      </c>
      <c r="D10" s="170">
        <f>'Saldobalanse 2021'!G133*-1</f>
        <v>1947674.41</v>
      </c>
    </row>
    <row r="11" spans="1:6">
      <c r="A11" t="s">
        <v>425</v>
      </c>
      <c r="B11" s="359"/>
      <c r="C11" s="170">
        <f>'Saldobalanse 2021'!D126*-1</f>
        <v>65824</v>
      </c>
      <c r="D11" s="170">
        <f>'Saldobalanse 2021'!G126*-1</f>
        <v>58985</v>
      </c>
    </row>
    <row r="12" spans="1:6">
      <c r="A12" t="s">
        <v>220</v>
      </c>
      <c r="B12" s="359"/>
      <c r="C12" s="171">
        <f>'Saldobalanse 2021'!D138*-1</f>
        <v>2350386.1599999997</v>
      </c>
      <c r="D12" s="171">
        <f>'Saldobalanse 2021'!G138*-1</f>
        <v>3371690.4700000007</v>
      </c>
    </row>
    <row r="13" spans="1:6">
      <c r="A13" s="3" t="s">
        <v>381</v>
      </c>
      <c r="B13" s="359"/>
      <c r="C13" s="172">
        <f>SUM(C9:C12)</f>
        <v>6121468.5899999999</v>
      </c>
      <c r="D13" s="172">
        <f>SUM(D9:D12)</f>
        <v>6908679.8800000008</v>
      </c>
      <c r="F13" s="7"/>
    </row>
    <row r="14" spans="1:6">
      <c r="B14" s="359"/>
      <c r="C14" s="170"/>
      <c r="D14" s="170"/>
    </row>
    <row r="15" spans="1:6">
      <c r="A15" s="3" t="s">
        <v>382</v>
      </c>
      <c r="B15" s="359"/>
      <c r="C15" s="170"/>
      <c r="D15" s="170"/>
    </row>
    <row r="16" spans="1:6">
      <c r="A16" t="s">
        <v>383</v>
      </c>
      <c r="B16" s="359" t="s">
        <v>374</v>
      </c>
      <c r="C16" s="170">
        <f>'Saldobalanse 2021'!D159</f>
        <v>3150507.8</v>
      </c>
      <c r="D16" s="170">
        <f>'Saldobalanse 2021'!G159</f>
        <v>2544999.14</v>
      </c>
    </row>
    <row r="17" spans="1:5">
      <c r="A17" s="139" t="s">
        <v>247</v>
      </c>
      <c r="B17" s="140"/>
      <c r="C17" s="173">
        <f>'Saldobalanse 2021'!D190</f>
        <v>400492.31</v>
      </c>
      <c r="D17" s="173">
        <f>'Saldobalanse 2021'!G190</f>
        <v>248360.77000000002</v>
      </c>
    </row>
    <row r="18" spans="1:5">
      <c r="A18" t="s">
        <v>384</v>
      </c>
      <c r="B18" s="359" t="s">
        <v>815</v>
      </c>
      <c r="C18" s="170">
        <f>'Saldobalanse 2021'!D185</f>
        <v>857071.78</v>
      </c>
      <c r="D18" s="170">
        <f>'Saldobalanse 2021'!G185</f>
        <v>930328.1</v>
      </c>
    </row>
    <row r="19" spans="1:5">
      <c r="A19" t="s">
        <v>385</v>
      </c>
      <c r="B19" s="359"/>
      <c r="C19" s="171">
        <f>'Saldobalanse 2021'!D249</f>
        <v>1563830.0300000005</v>
      </c>
      <c r="D19" s="171">
        <f>'Saldobalanse 2021'!G249</f>
        <v>1485365.9200000002</v>
      </c>
    </row>
    <row r="20" spans="1:5">
      <c r="A20" s="3" t="s">
        <v>386</v>
      </c>
      <c r="B20" s="359"/>
      <c r="C20" s="172">
        <f>SUM(C16:C19)</f>
        <v>5971901.9199999999</v>
      </c>
      <c r="D20" s="172">
        <f>SUM(D16:D19)</f>
        <v>5209053.9300000006</v>
      </c>
    </row>
    <row r="21" spans="1:5">
      <c r="B21" s="359"/>
      <c r="C21" s="170"/>
      <c r="D21" s="170"/>
    </row>
    <row r="22" spans="1:5">
      <c r="A22" s="3" t="s">
        <v>387</v>
      </c>
      <c r="B22" s="359"/>
      <c r="C22" s="172">
        <f>C13-C20</f>
        <v>149566.66999999993</v>
      </c>
      <c r="D22" s="172">
        <f>D13-D20</f>
        <v>1699625.9500000002</v>
      </c>
      <c r="E22" s="7"/>
    </row>
    <row r="23" spans="1:5">
      <c r="B23" s="359"/>
      <c r="C23" s="170"/>
      <c r="D23" s="170"/>
    </row>
    <row r="24" spans="1:5">
      <c r="A24" s="3" t="s">
        <v>388</v>
      </c>
      <c r="B24" s="359"/>
      <c r="C24" s="170"/>
      <c r="D24" s="170"/>
    </row>
    <row r="25" spans="1:5">
      <c r="A25" t="s">
        <v>389</v>
      </c>
      <c r="B25" s="359"/>
      <c r="C25" s="170">
        <f>'Saldobalanse 2021'!D252*-1</f>
        <v>12133.23</v>
      </c>
      <c r="D25" s="170">
        <f>'Saldobalanse 2021'!G252*-1</f>
        <v>13762.11</v>
      </c>
    </row>
    <row r="26" spans="1:5">
      <c r="A26" t="s">
        <v>390</v>
      </c>
      <c r="B26" s="359"/>
      <c r="C26" s="171">
        <f>'Saldobalanse 2021'!D257</f>
        <v>986.18000000000006</v>
      </c>
      <c r="D26" s="171">
        <f>'Saldobalanse 2021'!G257</f>
        <v>972.97</v>
      </c>
    </row>
    <row r="27" spans="1:5">
      <c r="A27" s="3" t="s">
        <v>391</v>
      </c>
      <c r="B27" s="359"/>
      <c r="C27" s="172">
        <f>C25-C26</f>
        <v>11147.05</v>
      </c>
      <c r="D27" s="172">
        <f>D25-D26</f>
        <v>12789.140000000001</v>
      </c>
    </row>
    <row r="28" spans="1:5">
      <c r="A28" s="3"/>
      <c r="B28" s="359"/>
      <c r="C28" s="172"/>
      <c r="D28" s="172"/>
    </row>
    <row r="29" spans="1:5">
      <c r="A29" s="3" t="s">
        <v>392</v>
      </c>
      <c r="B29" s="359"/>
      <c r="C29" s="172">
        <f>C22+C27</f>
        <v>160713.71999999991</v>
      </c>
      <c r="D29" s="172">
        <f>D22+D27</f>
        <v>1712415.09</v>
      </c>
    </row>
    <row r="30" spans="1:5">
      <c r="B30" s="359"/>
      <c r="C30" s="170"/>
      <c r="D30" s="170"/>
    </row>
    <row r="31" spans="1:5">
      <c r="A31" s="3" t="s">
        <v>393</v>
      </c>
      <c r="B31" s="359"/>
      <c r="C31" s="170"/>
      <c r="D31" s="170"/>
    </row>
    <row r="32" spans="1:5">
      <c r="A32" t="s">
        <v>394</v>
      </c>
      <c r="B32" s="359"/>
      <c r="C32" s="171">
        <f>C29</f>
        <v>160713.71999999991</v>
      </c>
      <c r="D32" s="171">
        <f>D29</f>
        <v>1712415.09</v>
      </c>
    </row>
    <row r="33" spans="1:4">
      <c r="A33" s="3" t="s">
        <v>395</v>
      </c>
      <c r="B33" s="359"/>
      <c r="C33" s="172">
        <f>SUM(C32)</f>
        <v>160713.71999999991</v>
      </c>
      <c r="D33" s="172">
        <f>SUM(D32)</f>
        <v>1712415.09</v>
      </c>
    </row>
    <row r="34" spans="1:4">
      <c r="B34" s="359"/>
      <c r="C34" s="170" t="s">
        <v>374</v>
      </c>
      <c r="D34" s="170"/>
    </row>
    <row r="35" spans="1:4">
      <c r="B35" s="359"/>
      <c r="C35" s="170" t="s">
        <v>374</v>
      </c>
      <c r="D35" s="170"/>
    </row>
    <row r="36" spans="1:4">
      <c r="B36" s="359"/>
      <c r="C36" s="170"/>
      <c r="D36" s="170"/>
    </row>
    <row r="37" spans="1:4" ht="23.4">
      <c r="A37" s="2" t="s">
        <v>973</v>
      </c>
      <c r="B37" s="359"/>
      <c r="C37" s="141"/>
      <c r="D37" s="141"/>
    </row>
    <row r="38" spans="1:4" s="4" customFormat="1">
      <c r="B38" s="359"/>
      <c r="C38" s="174"/>
      <c r="D38" s="174"/>
    </row>
    <row r="39" spans="1:4" s="4" customFormat="1">
      <c r="B39" s="359"/>
      <c r="C39" s="376" t="s">
        <v>396</v>
      </c>
      <c r="D39" s="376"/>
    </row>
    <row r="40" spans="1:4">
      <c r="B40" s="359" t="s">
        <v>376</v>
      </c>
      <c r="C40" s="360">
        <f>C7</f>
        <v>2021</v>
      </c>
      <c r="D40" s="360">
        <f>D7</f>
        <v>2020</v>
      </c>
    </row>
    <row r="41" spans="1:4">
      <c r="A41" s="3" t="s">
        <v>397</v>
      </c>
      <c r="B41" s="359"/>
      <c r="C41" s="141"/>
      <c r="D41" s="141"/>
    </row>
    <row r="42" spans="1:4">
      <c r="A42" s="3" t="s">
        <v>398</v>
      </c>
      <c r="B42" s="359"/>
      <c r="C42" s="176"/>
      <c r="D42" s="176"/>
    </row>
    <row r="43" spans="1:4">
      <c r="A43" s="10" t="s">
        <v>399</v>
      </c>
      <c r="B43" s="359" t="s">
        <v>521</v>
      </c>
      <c r="C43" s="170">
        <f>'Saldobalanse 2021'!D6</f>
        <v>11719876.34</v>
      </c>
      <c r="D43" s="179">
        <f>'Saldobalanse 2021'!G6</f>
        <v>11933138.75</v>
      </c>
    </row>
    <row r="44" spans="1:4">
      <c r="A44" s="133" t="s">
        <v>523</v>
      </c>
      <c r="B44" s="359" t="s">
        <v>522</v>
      </c>
      <c r="C44" s="171">
        <f>'Saldobalanse 2021'!D16</f>
        <v>1343878.88</v>
      </c>
      <c r="D44" s="171">
        <f>'Saldobalanse 2021'!G16</f>
        <v>648003.78</v>
      </c>
    </row>
    <row r="45" spans="1:4">
      <c r="A45" s="3" t="s">
        <v>400</v>
      </c>
      <c r="B45" s="359"/>
      <c r="C45" s="172">
        <f>SUM(C43:C44)</f>
        <v>13063755.219999999</v>
      </c>
      <c r="D45" s="172">
        <f>SUM(D43:D44)</f>
        <v>12581142.529999999</v>
      </c>
    </row>
    <row r="46" spans="1:4">
      <c r="B46" s="359"/>
      <c r="C46" s="170"/>
      <c r="D46" s="170"/>
    </row>
    <row r="47" spans="1:4">
      <c r="A47" s="3" t="s">
        <v>401</v>
      </c>
      <c r="B47" s="359"/>
      <c r="C47" s="141"/>
      <c r="D47" s="170"/>
    </row>
    <row r="48" spans="1:4">
      <c r="A48" t="s">
        <v>402</v>
      </c>
      <c r="B48" s="359" t="s">
        <v>380</v>
      </c>
      <c r="C48" s="170">
        <f>'Saldobalanse 2021'!D17</f>
        <v>122430.59</v>
      </c>
      <c r="D48" s="170">
        <f>'Saldobalanse 2021'!G17</f>
        <v>130242.38</v>
      </c>
    </row>
    <row r="49" spans="1:6">
      <c r="A49" t="s">
        <v>22</v>
      </c>
      <c r="B49" s="359" t="s">
        <v>380</v>
      </c>
      <c r="C49" s="170">
        <f>'Saldobalanse 2021'!D21</f>
        <v>34469.15</v>
      </c>
      <c r="D49" s="170">
        <f>'Saldobalanse 2021'!G21</f>
        <v>56318.69</v>
      </c>
    </row>
    <row r="50" spans="1:6">
      <c r="A50" t="s">
        <v>403</v>
      </c>
      <c r="B50" s="359" t="s">
        <v>380</v>
      </c>
      <c r="C50" s="170">
        <f>'Saldobalanse 2021'!D28</f>
        <v>74725.149999999994</v>
      </c>
      <c r="D50" s="170">
        <f>'Saldobalanse 2021'!G28</f>
        <v>29054.15</v>
      </c>
    </row>
    <row r="51" spans="1:6">
      <c r="A51" t="s">
        <v>404</v>
      </c>
      <c r="B51" s="359" t="s">
        <v>405</v>
      </c>
      <c r="C51" s="171">
        <f>'Saldobalanse 2021'!D44</f>
        <v>5773561.4799999995</v>
      </c>
      <c r="D51" s="171">
        <f>'Saldobalanse 2021'!G44</f>
        <v>4620061.3699999992</v>
      </c>
    </row>
    <row r="52" spans="1:6">
      <c r="A52" s="3" t="s">
        <v>406</v>
      </c>
      <c r="B52" s="359"/>
      <c r="C52" s="172">
        <f>SUM(C48:C51)</f>
        <v>6005186.3699999992</v>
      </c>
      <c r="D52" s="172">
        <f>SUM(D48:D51)</f>
        <v>4835676.5899999989</v>
      </c>
    </row>
    <row r="53" spans="1:6">
      <c r="B53" s="359"/>
      <c r="C53" s="170"/>
      <c r="D53" s="170"/>
    </row>
    <row r="54" spans="1:6">
      <c r="A54" s="3" t="s">
        <v>407</v>
      </c>
      <c r="B54" s="359"/>
      <c r="C54" s="172">
        <f>C45+C52</f>
        <v>19068941.589999996</v>
      </c>
      <c r="D54" s="172">
        <f>D45+D52</f>
        <v>17416819.119999997</v>
      </c>
    </row>
    <row r="55" spans="1:6">
      <c r="B55" s="359"/>
      <c r="C55" s="141"/>
      <c r="D55" s="170"/>
    </row>
    <row r="56" spans="1:6">
      <c r="B56" s="359"/>
      <c r="C56" s="141"/>
      <c r="D56" s="170"/>
    </row>
    <row r="57" spans="1:6" ht="21">
      <c r="A57" s="98" t="str">
        <f>A37</f>
        <v>Balanse pr 31.12.2021 for Oslostudentenes Idrettsklubb</v>
      </c>
      <c r="B57" s="359"/>
      <c r="C57" s="141"/>
      <c r="D57" s="170"/>
    </row>
    <row r="58" spans="1:6">
      <c r="B58" s="359"/>
      <c r="C58" s="141"/>
      <c r="D58" s="170"/>
    </row>
    <row r="59" spans="1:6">
      <c r="B59" s="359"/>
      <c r="C59" s="377" t="s">
        <v>396</v>
      </c>
      <c r="D59" s="377"/>
    </row>
    <row r="60" spans="1:6">
      <c r="B60" s="359" t="s">
        <v>376</v>
      </c>
      <c r="C60" s="361">
        <f>C40</f>
        <v>2021</v>
      </c>
      <c r="D60" s="351">
        <f>D40</f>
        <v>2020</v>
      </c>
    </row>
    <row r="61" spans="1:6">
      <c r="A61" s="3" t="s">
        <v>408</v>
      </c>
      <c r="B61" s="359"/>
      <c r="C61" s="141"/>
      <c r="D61" s="170"/>
    </row>
    <row r="62" spans="1:6">
      <c r="A62" s="16" t="s">
        <v>431</v>
      </c>
      <c r="B62" s="359" t="s">
        <v>409</v>
      </c>
      <c r="C62" s="170">
        <f>'Saldobalanse 2021'!D85</f>
        <v>-637309.85000000009</v>
      </c>
      <c r="D62" s="170">
        <f>'Saldobalanse 2021'!G85</f>
        <v>-637309.85000000009</v>
      </c>
    </row>
    <row r="63" spans="1:6">
      <c r="A63" s="16" t="s">
        <v>432</v>
      </c>
      <c r="B63" s="359"/>
      <c r="C63" s="171">
        <f>'Saldobalanse 2021'!D97</f>
        <v>-15379684.449999997</v>
      </c>
      <c r="D63" s="171">
        <f>'Saldobalanse 2021'!G97</f>
        <v>-15218970.729999997</v>
      </c>
    </row>
    <row r="64" spans="1:6">
      <c r="A64" s="3" t="s">
        <v>410</v>
      </c>
      <c r="B64" s="359"/>
      <c r="C64" s="172">
        <f>SUM(C62:C63)</f>
        <v>-16016994.299999997</v>
      </c>
      <c r="D64" s="172">
        <f>SUM(D62:D63)</f>
        <v>-15856280.579999996</v>
      </c>
      <c r="F64" s="7"/>
    </row>
    <row r="65" spans="1:6">
      <c r="B65" s="359"/>
      <c r="C65" s="141"/>
      <c r="D65" s="170"/>
    </row>
    <row r="66" spans="1:6">
      <c r="A66" s="3" t="s">
        <v>411</v>
      </c>
      <c r="B66" s="359"/>
      <c r="C66" s="141"/>
      <c r="D66" s="170"/>
    </row>
    <row r="67" spans="1:6">
      <c r="A67" s="16" t="s">
        <v>433</v>
      </c>
      <c r="B67" s="359" t="s">
        <v>521</v>
      </c>
      <c r="C67" s="170">
        <f>'Saldobalanse 2021'!D104</f>
        <v>-20000</v>
      </c>
      <c r="D67" s="170">
        <f>'Saldobalanse 2021'!G104</f>
        <v>-20000</v>
      </c>
    </row>
    <row r="68" spans="1:6">
      <c r="A68" t="s">
        <v>413</v>
      </c>
      <c r="B68" s="359" t="s">
        <v>521</v>
      </c>
      <c r="C68" s="171">
        <f>'Saldobalanse 2021'!D100</f>
        <v>-1312790</v>
      </c>
      <c r="D68" s="171">
        <f>'Saldobalanse 2021'!G100</f>
        <v>-1312790</v>
      </c>
    </row>
    <row r="69" spans="1:6">
      <c r="A69" s="3" t="s">
        <v>415</v>
      </c>
      <c r="B69" s="359"/>
      <c r="C69" s="172">
        <f>SUM(C67:C68)</f>
        <v>-1332790</v>
      </c>
      <c r="D69" s="172">
        <f>SUM(D67:D68)</f>
        <v>-1332790</v>
      </c>
    </row>
    <row r="70" spans="1:6">
      <c r="B70" s="359"/>
      <c r="C70" s="141"/>
      <c r="D70" s="170"/>
    </row>
    <row r="71" spans="1:6">
      <c r="A71" s="3" t="s">
        <v>416</v>
      </c>
      <c r="B71" s="359"/>
      <c r="C71" s="141"/>
      <c r="D71" s="170"/>
    </row>
    <row r="72" spans="1:6">
      <c r="A72" t="s">
        <v>144</v>
      </c>
      <c r="B72" s="359"/>
      <c r="C72" s="170">
        <f>'Saldobalanse 2021'!D101</f>
        <v>-1624842.48</v>
      </c>
      <c r="D72" s="170">
        <f>'Saldobalanse 2021'!G101</f>
        <v>-139500.44</v>
      </c>
    </row>
    <row r="73" spans="1:6">
      <c r="A73" t="s">
        <v>417</v>
      </c>
      <c r="B73" s="359" t="s">
        <v>405</v>
      </c>
      <c r="C73" s="170">
        <f>'Saldobalanse 2021'!D106</f>
        <v>-36759.759999999995</v>
      </c>
      <c r="D73" s="170">
        <f>'Saldobalanse 2021'!G106</f>
        <v>-34374.75</v>
      </c>
    </row>
    <row r="74" spans="1:6">
      <c r="A74" t="s">
        <v>146</v>
      </c>
      <c r="B74" s="359" t="s">
        <v>374</v>
      </c>
      <c r="C74" s="171">
        <f>'Saldobalanse 2021'!D112</f>
        <v>-57555.05</v>
      </c>
      <c r="D74" s="171">
        <f>'Saldobalanse 2021'!G112</f>
        <v>-53873.35</v>
      </c>
    </row>
    <row r="75" spans="1:6">
      <c r="A75" s="3" t="s">
        <v>418</v>
      </c>
      <c r="B75" s="359"/>
      <c r="C75" s="172">
        <f>SUM(C72:C74)</f>
        <v>-1719157.29</v>
      </c>
      <c r="D75" s="172">
        <f>SUM(D72:D74)</f>
        <v>-227748.54</v>
      </c>
    </row>
    <row r="76" spans="1:6">
      <c r="B76" s="359"/>
      <c r="C76" s="141"/>
      <c r="D76" s="170"/>
    </row>
    <row r="77" spans="1:6">
      <c r="A77" s="3" t="s">
        <v>419</v>
      </c>
      <c r="B77" s="359"/>
      <c r="C77" s="172">
        <f>C64+C69+C75</f>
        <v>-19068941.589999996</v>
      </c>
      <c r="D77" s="172">
        <f>D64+D69+D75</f>
        <v>-17416819.119999997</v>
      </c>
      <c r="E77" s="7"/>
      <c r="F77" s="7"/>
    </row>
    <row r="78" spans="1:6">
      <c r="C78" s="170"/>
      <c r="D78" s="170"/>
    </row>
    <row r="79" spans="1:6">
      <c r="B79" s="3" t="s">
        <v>1016</v>
      </c>
    </row>
    <row r="82" spans="1:4" ht="13.2">
      <c r="B82"/>
    </row>
    <row r="84" spans="1:4" ht="13.2">
      <c r="A84" s="95" t="s">
        <v>1007</v>
      </c>
      <c r="B84" s="96" t="s">
        <v>1008</v>
      </c>
      <c r="D84" s="96" t="s">
        <v>1009</v>
      </c>
    </row>
    <row r="85" spans="1:4" ht="13.2">
      <c r="A85" s="95"/>
      <c r="B85" s="96"/>
      <c r="D85" s="96"/>
    </row>
    <row r="87" spans="1:4" ht="13.2">
      <c r="B87"/>
    </row>
    <row r="89" spans="1:4" ht="13.2">
      <c r="A89" s="95" t="s">
        <v>1010</v>
      </c>
      <c r="B89" s="96" t="s">
        <v>1011</v>
      </c>
      <c r="D89" s="96" t="s">
        <v>1012</v>
      </c>
    </row>
    <row r="90" spans="1:4" ht="13.2">
      <c r="A90" s="11"/>
      <c r="B90" s="11"/>
      <c r="C90" s="16" t="s">
        <v>374</v>
      </c>
      <c r="D90" s="11"/>
    </row>
    <row r="92" spans="1:4" ht="13.2">
      <c r="B92"/>
    </row>
    <row r="94" spans="1:4" ht="13.2">
      <c r="A94" s="11" t="s">
        <v>1013</v>
      </c>
      <c r="B94" s="97" t="s">
        <v>1014</v>
      </c>
      <c r="D94" s="97" t="s">
        <v>1015</v>
      </c>
    </row>
    <row r="95" spans="1:4" ht="13.2">
      <c r="A95" s="11"/>
      <c r="B95" s="12"/>
      <c r="C95" s="11"/>
      <c r="D95" s="11"/>
    </row>
    <row r="96" spans="1:4" ht="13.2">
      <c r="A96" s="11"/>
      <c r="B96" s="13"/>
      <c r="C96" s="11"/>
      <c r="D96" s="97"/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5"/>
  <sheetViews>
    <sheetView topLeftCell="A50" workbookViewId="0">
      <selection activeCell="C148" sqref="C148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51" customWidth="1"/>
    <col min="4" max="4" width="15.88671875" style="51" customWidth="1"/>
    <col min="5" max="6" width="13.5546875" style="51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52"/>
      <c r="I1" s="51"/>
    </row>
    <row r="2" spans="1:9" ht="15.6">
      <c r="A2" s="49" t="s">
        <v>674</v>
      </c>
      <c r="B2" s="50"/>
      <c r="C2" s="53"/>
      <c r="D2" s="146"/>
      <c r="E2" s="65"/>
      <c r="F2" s="65"/>
      <c r="G2" s="65"/>
      <c r="I2" s="51"/>
    </row>
    <row r="3" spans="1:9">
      <c r="A3" s="50"/>
      <c r="B3" s="50"/>
      <c r="D3" s="146"/>
      <c r="E3" s="65"/>
      <c r="F3" s="65"/>
      <c r="G3" s="65"/>
      <c r="I3" s="51"/>
    </row>
    <row r="4" spans="1:9">
      <c r="A4" s="54" t="s">
        <v>445</v>
      </c>
      <c r="B4" s="10"/>
      <c r="D4" s="65"/>
      <c r="E4" s="65"/>
      <c r="F4" s="65"/>
      <c r="G4" s="65"/>
      <c r="I4" s="51"/>
    </row>
    <row r="5" spans="1:9">
      <c r="A5" s="54"/>
      <c r="B5" s="10"/>
      <c r="D5" s="65"/>
      <c r="E5" s="65"/>
      <c r="F5" s="65"/>
      <c r="G5" s="65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33" t="s">
        <v>738</v>
      </c>
      <c r="I8" s="51"/>
    </row>
    <row r="9" spans="1:9">
      <c r="A9" s="10"/>
      <c r="B9" s="133" t="s">
        <v>726</v>
      </c>
      <c r="I9" s="51"/>
    </row>
    <row r="10" spans="1:9">
      <c r="A10" s="10"/>
      <c r="B10" s="133" t="s">
        <v>739</v>
      </c>
      <c r="I10" s="51"/>
    </row>
    <row r="11" spans="1:9">
      <c r="A11" s="10"/>
      <c r="B11" s="133" t="s">
        <v>740</v>
      </c>
      <c r="I11" s="51"/>
    </row>
    <row r="12" spans="1:9">
      <c r="A12" s="10"/>
      <c r="B12" s="133" t="s">
        <v>741</v>
      </c>
      <c r="I12" s="51"/>
    </row>
    <row r="13" spans="1:9">
      <c r="A13" s="10"/>
      <c r="B13" s="133" t="s">
        <v>742</v>
      </c>
      <c r="I13" s="51"/>
    </row>
    <row r="14" spans="1:9">
      <c r="A14" s="54"/>
      <c r="B14" s="55" t="s">
        <v>448</v>
      </c>
      <c r="I14" s="51"/>
    </row>
    <row r="15" spans="1:9">
      <c r="A15" s="18"/>
      <c r="B15" s="18" t="s">
        <v>449</v>
      </c>
      <c r="I15" s="51"/>
    </row>
    <row r="16" spans="1:9">
      <c r="A16" s="18"/>
      <c r="B16" s="10" t="s">
        <v>450</v>
      </c>
      <c r="I16" s="51"/>
    </row>
    <row r="17" spans="1:9">
      <c r="A17" s="54"/>
      <c r="B17" s="55" t="s">
        <v>451</v>
      </c>
      <c r="I17" s="51"/>
    </row>
    <row r="18" spans="1:9">
      <c r="A18" s="18"/>
      <c r="B18" s="18" t="s">
        <v>683</v>
      </c>
      <c r="I18" s="51"/>
    </row>
    <row r="19" spans="1:9">
      <c r="A19" s="18"/>
      <c r="B19" s="55" t="s">
        <v>452</v>
      </c>
      <c r="I19" s="51"/>
    </row>
    <row r="20" spans="1:9">
      <c r="A20" s="18"/>
      <c r="B20" s="18" t="s">
        <v>453</v>
      </c>
      <c r="I20" s="51"/>
    </row>
    <row r="21" spans="1:9">
      <c r="A21" s="18"/>
      <c r="B21" s="18" t="s">
        <v>454</v>
      </c>
      <c r="I21" s="51"/>
    </row>
    <row r="22" spans="1:9">
      <c r="A22" s="18"/>
      <c r="B22" s="18" t="s">
        <v>455</v>
      </c>
      <c r="I22" s="51"/>
    </row>
    <row r="23" spans="1:9">
      <c r="A23" s="18"/>
      <c r="B23" s="18" t="s">
        <v>494</v>
      </c>
      <c r="I23" s="51"/>
    </row>
    <row r="24" spans="1:9">
      <c r="A24" s="18"/>
      <c r="B24" s="18" t="s">
        <v>495</v>
      </c>
      <c r="I24" s="51"/>
    </row>
    <row r="25" spans="1:9">
      <c r="A25" s="18"/>
      <c r="B25" s="55" t="s">
        <v>146</v>
      </c>
      <c r="I25" s="51"/>
    </row>
    <row r="26" spans="1:9">
      <c r="A26" s="18"/>
      <c r="B26" s="18" t="s">
        <v>456</v>
      </c>
      <c r="I26" s="51"/>
    </row>
    <row r="27" spans="1:9">
      <c r="A27" s="18"/>
      <c r="B27" s="55" t="s">
        <v>457</v>
      </c>
      <c r="I27" s="51"/>
    </row>
    <row r="28" spans="1:9">
      <c r="A28" s="18"/>
      <c r="B28" s="18" t="s">
        <v>458</v>
      </c>
      <c r="I28" s="51"/>
    </row>
    <row r="29" spans="1:9">
      <c r="A29" s="18"/>
      <c r="B29" s="10" t="s">
        <v>496</v>
      </c>
      <c r="I29" s="51"/>
    </row>
    <row r="30" spans="1:9">
      <c r="A30" s="18"/>
      <c r="B30" s="18" t="s">
        <v>497</v>
      </c>
      <c r="I30" s="51"/>
    </row>
    <row r="31" spans="1:9">
      <c r="A31" s="18"/>
      <c r="B31" s="54" t="s">
        <v>537</v>
      </c>
      <c r="I31" s="51"/>
    </row>
    <row r="32" spans="1:9">
      <c r="A32" s="18"/>
      <c r="B32" s="18" t="s">
        <v>684</v>
      </c>
      <c r="I32" s="51"/>
    </row>
    <row r="33" spans="1:11">
      <c r="A33" s="18"/>
      <c r="B33" s="18" t="s">
        <v>685</v>
      </c>
      <c r="I33" s="51"/>
    </row>
    <row r="34" spans="1:11">
      <c r="A34" s="18"/>
      <c r="B34" s="18" t="s">
        <v>686</v>
      </c>
      <c r="I34" s="51"/>
    </row>
    <row r="35" spans="1:11">
      <c r="A35" s="18"/>
      <c r="B35" s="18"/>
      <c r="I35" s="51"/>
    </row>
    <row r="36" spans="1:11">
      <c r="A36" s="56" t="s">
        <v>459</v>
      </c>
      <c r="B36" s="54" t="s">
        <v>460</v>
      </c>
      <c r="I36" s="51"/>
    </row>
    <row r="37" spans="1:11">
      <c r="A37" s="56"/>
      <c r="B37" s="54"/>
      <c r="E37" s="57"/>
      <c r="I37" s="51"/>
    </row>
    <row r="38" spans="1:11" ht="14.4">
      <c r="A38" s="56"/>
      <c r="B38" s="55" t="s">
        <v>461</v>
      </c>
      <c r="C38" s="58" t="s">
        <v>675</v>
      </c>
      <c r="D38" s="58" t="s">
        <v>648</v>
      </c>
      <c r="I38" s="51"/>
    </row>
    <row r="39" spans="1:11" ht="14.4">
      <c r="A39" s="56"/>
      <c r="B39" s="10" t="s">
        <v>463</v>
      </c>
      <c r="C39" s="151">
        <f>'Saldobalanse 2016'!F136+'Saldobalanse 2016'!F137+'Saldobalanse 2016'!F138+'Saldobalanse 2016'!F145</f>
        <v>825914.33000000007</v>
      </c>
      <c r="D39" s="152">
        <v>1055791.8</v>
      </c>
      <c r="E39" s="65"/>
      <c r="F39" s="65"/>
      <c r="I39" s="51"/>
    </row>
    <row r="40" spans="1:11">
      <c r="A40" s="56"/>
      <c r="B40" s="10" t="s">
        <v>232</v>
      </c>
      <c r="C40" s="152">
        <f>'Saldobalanse 2016'!F146+'Saldobalanse 2016'!F147</f>
        <v>102993.44</v>
      </c>
      <c r="D40" s="152">
        <v>124840.86</v>
      </c>
      <c r="E40" s="65"/>
      <c r="F40" s="65"/>
      <c r="I40" s="51"/>
    </row>
    <row r="41" spans="1:11">
      <c r="A41" s="56"/>
      <c r="B41" s="10" t="s">
        <v>464</v>
      </c>
      <c r="C41" s="152">
        <f>'Saldobalanse 2016'!F151</f>
        <v>14719</v>
      </c>
      <c r="D41" s="152">
        <v>12409</v>
      </c>
      <c r="E41" s="65"/>
      <c r="F41" s="65"/>
      <c r="I41" s="51"/>
    </row>
    <row r="42" spans="1:11">
      <c r="A42" s="56"/>
      <c r="B42" s="10" t="s">
        <v>465</v>
      </c>
      <c r="C42" s="153">
        <f>'Saldobalanse 2016'!F140+'Saldobalanse 2016'!F141+'Saldobalanse 2016'!F142+'Saldobalanse 2016'!F144+'Saldobalanse 2016'!F148+'Saldobalanse 2016'!F149+'Saldobalanse 2016'!F150+'Saldobalanse 2016'!F152</f>
        <v>17461.55</v>
      </c>
      <c r="D42" s="153">
        <v>283702.84999999998</v>
      </c>
      <c r="E42" s="65"/>
      <c r="F42" s="65"/>
      <c r="I42" s="51"/>
    </row>
    <row r="43" spans="1:11">
      <c r="A43" s="56"/>
      <c r="B43" s="10" t="s">
        <v>466</v>
      </c>
      <c r="C43" s="152">
        <f>SUM(C39:C42)</f>
        <v>961088.32000000007</v>
      </c>
      <c r="D43" s="152">
        <v>1476744.5100000002</v>
      </c>
      <c r="E43" s="65"/>
      <c r="F43" s="65"/>
      <c r="H43" s="147"/>
      <c r="I43" s="147"/>
      <c r="J43" s="147"/>
      <c r="K43" s="147"/>
    </row>
    <row r="44" spans="1:11">
      <c r="A44" s="56"/>
      <c r="B44" s="10"/>
      <c r="C44" s="154"/>
      <c r="D44" s="155"/>
      <c r="E44" s="72"/>
      <c r="F44" s="155"/>
      <c r="H44" s="147"/>
      <c r="I44" s="147"/>
      <c r="J44" s="147"/>
      <c r="K44" s="147"/>
    </row>
    <row r="45" spans="1:11">
      <c r="A45" s="56"/>
      <c r="B45" s="64" t="s">
        <v>681</v>
      </c>
      <c r="C45" s="65"/>
      <c r="D45" s="65"/>
      <c r="E45" s="65"/>
      <c r="F45" s="65"/>
      <c r="H45" s="147"/>
      <c r="I45" s="147"/>
      <c r="J45" s="147"/>
      <c r="K45" s="147"/>
    </row>
    <row r="46" spans="1:11">
      <c r="B46" s="66" t="s">
        <v>729</v>
      </c>
      <c r="C46" s="65"/>
      <c r="D46" s="65"/>
      <c r="E46" s="65"/>
      <c r="F46" s="65"/>
      <c r="H46" s="147"/>
      <c r="I46" s="147"/>
      <c r="J46" s="147"/>
      <c r="K46" s="147"/>
    </row>
    <row r="47" spans="1:11">
      <c r="B47" s="10" t="s">
        <v>682</v>
      </c>
      <c r="C47" s="65"/>
      <c r="D47" s="65"/>
      <c r="E47" s="65"/>
      <c r="F47" s="65"/>
      <c r="H47" s="147"/>
      <c r="I47" s="147"/>
      <c r="J47" s="147"/>
      <c r="K47" s="147"/>
    </row>
    <row r="48" spans="1:11">
      <c r="B48" s="133" t="s">
        <v>714</v>
      </c>
      <c r="C48" s="65"/>
      <c r="D48" s="65"/>
      <c r="E48" s="65"/>
      <c r="F48" s="65"/>
      <c r="H48" s="147"/>
      <c r="I48" s="147"/>
      <c r="J48" s="147"/>
      <c r="K48" s="147"/>
    </row>
    <row r="49" spans="1:11">
      <c r="B49" s="133" t="s">
        <v>730</v>
      </c>
      <c r="C49" s="65"/>
      <c r="D49" s="65"/>
      <c r="E49" s="146"/>
      <c r="F49" s="65"/>
      <c r="H49" s="147"/>
      <c r="I49" s="148"/>
      <c r="J49" s="147"/>
      <c r="K49" s="147"/>
    </row>
    <row r="50" spans="1:11">
      <c r="B50" s="10" t="s">
        <v>664</v>
      </c>
      <c r="C50" s="65"/>
      <c r="D50" s="65"/>
      <c r="E50" s="65"/>
      <c r="F50" s="65"/>
      <c r="H50" s="147"/>
      <c r="I50" s="147"/>
      <c r="J50" s="147"/>
      <c r="K50" s="147"/>
    </row>
    <row r="51" spans="1:11">
      <c r="B51" s="10" t="s">
        <v>665</v>
      </c>
      <c r="C51" s="65"/>
      <c r="D51" s="65"/>
      <c r="E51" s="65"/>
      <c r="F51" s="65"/>
      <c r="H51" s="147"/>
      <c r="I51" s="147"/>
      <c r="J51" s="147"/>
      <c r="K51" s="147"/>
    </row>
    <row r="52" spans="1:11">
      <c r="B52" s="10"/>
      <c r="C52" s="65"/>
      <c r="D52" s="65"/>
      <c r="E52" s="65"/>
      <c r="F52" s="65"/>
      <c r="I52" s="51"/>
    </row>
    <row r="53" spans="1:11">
      <c r="B53" s="10" t="s">
        <v>467</v>
      </c>
      <c r="C53" s="65"/>
      <c r="D53" s="65"/>
      <c r="E53" s="65"/>
      <c r="F53" s="65"/>
      <c r="I53" s="51"/>
    </row>
    <row r="54" spans="1:11">
      <c r="B54" s="10" t="s">
        <v>468</v>
      </c>
      <c r="C54" s="65"/>
      <c r="D54" s="65"/>
      <c r="E54" s="65"/>
      <c r="F54" s="65"/>
      <c r="I54" s="51"/>
    </row>
    <row r="55" spans="1:11">
      <c r="B55" s="10"/>
      <c r="C55" s="65"/>
      <c r="D55" s="65"/>
      <c r="E55" s="65"/>
      <c r="F55" s="65"/>
      <c r="I55" s="51"/>
    </row>
    <row r="56" spans="1:11">
      <c r="B56" s="10"/>
      <c r="C56" s="65"/>
      <c r="D56" s="65"/>
      <c r="E56" s="65"/>
      <c r="F56" s="65"/>
      <c r="I56" s="51"/>
    </row>
    <row r="57" spans="1:11">
      <c r="A57" s="56" t="s">
        <v>469</v>
      </c>
      <c r="B57" s="54" t="s">
        <v>428</v>
      </c>
      <c r="C57" s="65"/>
      <c r="D57" s="65"/>
      <c r="E57" s="65"/>
      <c r="F57" s="65"/>
      <c r="I57" s="51"/>
    </row>
    <row r="58" spans="1:11">
      <c r="B58" s="10" t="s">
        <v>676</v>
      </c>
      <c r="C58" s="65"/>
      <c r="D58" s="156">
        <v>94379.58</v>
      </c>
      <c r="E58" s="65"/>
      <c r="F58" s="65"/>
      <c r="I58" s="51"/>
    </row>
    <row r="59" spans="1:11">
      <c r="B59" s="10" t="s">
        <v>505</v>
      </c>
      <c r="C59" s="65"/>
      <c r="D59" s="93">
        <v>-94379.58</v>
      </c>
      <c r="E59" s="65"/>
      <c r="F59" s="65"/>
      <c r="I59" s="51"/>
    </row>
    <row r="60" spans="1:11">
      <c r="B60" s="10" t="s">
        <v>677</v>
      </c>
      <c r="C60" s="65"/>
      <c r="D60" s="156">
        <f>SUM(D58:D59)</f>
        <v>0</v>
      </c>
      <c r="E60" s="65"/>
      <c r="F60" s="65"/>
      <c r="I60" s="51"/>
    </row>
    <row r="61" spans="1:11">
      <c r="B61" s="10"/>
      <c r="C61" s="65"/>
      <c r="D61" s="65"/>
      <c r="E61" s="65"/>
      <c r="F61" s="65"/>
      <c r="I61" s="51"/>
    </row>
    <row r="62" spans="1:11">
      <c r="B62" s="133" t="s">
        <v>728</v>
      </c>
      <c r="C62" s="65"/>
      <c r="D62" s="65"/>
      <c r="E62" s="65"/>
      <c r="F62" s="65"/>
      <c r="G62" s="65"/>
      <c r="H62" s="65"/>
      <c r="I62" s="51"/>
    </row>
    <row r="63" spans="1:11">
      <c r="B63" s="133" t="s">
        <v>715</v>
      </c>
      <c r="C63" s="65"/>
      <c r="D63" s="65"/>
      <c r="E63" s="65"/>
      <c r="F63" s="65"/>
      <c r="I63" s="51"/>
    </row>
    <row r="64" spans="1:11">
      <c r="B64" s="10"/>
      <c r="C64" s="65"/>
      <c r="D64" s="65"/>
      <c r="E64" s="65"/>
      <c r="F64" s="65"/>
      <c r="I64" s="51"/>
    </row>
    <row r="65" spans="1:9">
      <c r="B65" s="10"/>
      <c r="C65" s="65"/>
      <c r="D65" s="65"/>
      <c r="E65" s="65"/>
      <c r="F65" s="65"/>
      <c r="I65" s="51"/>
    </row>
    <row r="66" spans="1:9">
      <c r="A66" s="56" t="s">
        <v>474</v>
      </c>
      <c r="B66" s="54" t="s">
        <v>470</v>
      </c>
      <c r="C66" s="157"/>
      <c r="D66" s="157"/>
      <c r="E66" s="157"/>
      <c r="F66" s="72"/>
      <c r="G66" s="57"/>
      <c r="I66" s="51"/>
    </row>
    <row r="67" spans="1:9">
      <c r="A67" s="56"/>
      <c r="B67" s="54"/>
      <c r="C67" s="157"/>
      <c r="D67" s="157"/>
      <c r="E67" s="157"/>
      <c r="F67" s="72"/>
      <c r="G67" s="57"/>
      <c r="I67" s="51"/>
    </row>
    <row r="68" spans="1:9">
      <c r="A68" s="57"/>
      <c r="B68" s="55" t="s">
        <v>508</v>
      </c>
      <c r="C68" s="72"/>
      <c r="D68" s="72"/>
      <c r="E68" s="72"/>
      <c r="F68" s="72"/>
      <c r="G68" s="57"/>
      <c r="I68" s="51"/>
    </row>
    <row r="69" spans="1:9">
      <c r="A69" s="57"/>
      <c r="B69" s="10" t="s">
        <v>677</v>
      </c>
      <c r="C69" s="72"/>
      <c r="D69" s="145">
        <v>1287790</v>
      </c>
      <c r="E69" s="65"/>
      <c r="F69" s="72"/>
      <c r="G69" s="57"/>
      <c r="I69" s="51"/>
    </row>
    <row r="70" spans="1:9">
      <c r="A70" s="57"/>
      <c r="B70" s="10" t="s">
        <v>511</v>
      </c>
      <c r="C70" s="72"/>
      <c r="D70" s="72"/>
      <c r="E70" s="145"/>
      <c r="F70" s="72"/>
      <c r="G70" s="57"/>
      <c r="I70" s="51"/>
    </row>
    <row r="71" spans="1:9">
      <c r="A71" s="57"/>
      <c r="B71" s="57" t="s">
        <v>509</v>
      </c>
      <c r="C71" s="145"/>
      <c r="D71" s="72"/>
      <c r="E71" s="72"/>
      <c r="F71" s="72"/>
      <c r="G71" s="57"/>
      <c r="I71" s="51"/>
    </row>
    <row r="72" spans="1:9">
      <c r="A72" s="57"/>
      <c r="B72" s="10" t="s">
        <v>510</v>
      </c>
      <c r="C72" s="145"/>
      <c r="D72" s="72"/>
      <c r="E72" s="72"/>
      <c r="F72" s="72"/>
      <c r="G72" s="57"/>
      <c r="I72" s="51"/>
    </row>
    <row r="73" spans="1:9">
      <c r="A73" s="57"/>
      <c r="B73" s="10" t="s">
        <v>540</v>
      </c>
      <c r="C73" s="145"/>
      <c r="D73" s="72"/>
      <c r="E73" s="72"/>
      <c r="F73" s="72"/>
      <c r="G73" s="57"/>
      <c r="I73" s="51"/>
    </row>
    <row r="74" spans="1:9">
      <c r="A74" s="57"/>
      <c r="B74" s="138" t="s">
        <v>731</v>
      </c>
      <c r="C74" s="145"/>
      <c r="D74" s="72"/>
      <c r="E74" s="72"/>
      <c r="F74" s="72"/>
      <c r="G74" s="57"/>
      <c r="I74" s="51"/>
    </row>
    <row r="75" spans="1:9">
      <c r="A75" s="57"/>
      <c r="B75" s="138" t="s">
        <v>736</v>
      </c>
      <c r="C75" s="145"/>
      <c r="D75" s="135">
        <v>10593000</v>
      </c>
      <c r="E75" s="72"/>
      <c r="F75" s="72"/>
      <c r="G75" s="57"/>
      <c r="I75" s="51"/>
    </row>
    <row r="76" spans="1:9">
      <c r="A76" s="57"/>
      <c r="B76" s="138" t="s">
        <v>732</v>
      </c>
      <c r="C76" s="145"/>
      <c r="D76" s="135">
        <v>10565000</v>
      </c>
      <c r="E76" s="72"/>
      <c r="F76" s="72"/>
      <c r="G76" s="57"/>
      <c r="I76" s="51"/>
    </row>
    <row r="77" spans="1:9">
      <c r="A77" s="57"/>
      <c r="B77" s="138" t="s">
        <v>733</v>
      </c>
      <c r="C77" s="145"/>
      <c r="D77" s="135">
        <v>1837000</v>
      </c>
      <c r="E77" s="72"/>
      <c r="F77" s="72"/>
      <c r="G77" s="57"/>
      <c r="I77" s="51"/>
    </row>
    <row r="78" spans="1:9">
      <c r="A78" s="57"/>
      <c r="B78" s="138" t="s">
        <v>734</v>
      </c>
      <c r="C78" s="145"/>
      <c r="D78" s="134">
        <v>1014000</v>
      </c>
      <c r="E78" s="72"/>
      <c r="F78" s="72"/>
      <c r="G78" s="57"/>
      <c r="I78" s="51"/>
    </row>
    <row r="79" spans="1:9">
      <c r="A79" s="57"/>
      <c r="B79" s="138" t="s">
        <v>735</v>
      </c>
      <c r="C79" s="145"/>
      <c r="D79" s="158">
        <f>SUM(D75:D78)</f>
        <v>24009000</v>
      </c>
      <c r="E79" s="72"/>
      <c r="F79" s="72"/>
      <c r="G79" s="57"/>
      <c r="I79" s="51"/>
    </row>
    <row r="80" spans="1:9">
      <c r="A80" s="57"/>
      <c r="B80" s="138"/>
      <c r="C80" s="145"/>
      <c r="D80" s="72"/>
      <c r="E80" s="72"/>
      <c r="F80" s="72"/>
      <c r="G80" s="57"/>
      <c r="I80" s="51"/>
    </row>
    <row r="81" spans="1:9">
      <c r="A81" s="57"/>
      <c r="B81" s="55" t="s">
        <v>512</v>
      </c>
      <c r="C81" s="145"/>
      <c r="D81" s="72"/>
      <c r="E81" s="72"/>
      <c r="F81" s="72"/>
      <c r="G81" s="57"/>
      <c r="I81" s="51"/>
    </row>
    <row r="82" spans="1:9">
      <c r="A82" s="57"/>
      <c r="B82" s="10" t="s">
        <v>677</v>
      </c>
      <c r="C82" s="72"/>
      <c r="D82" s="145">
        <v>45000</v>
      </c>
      <c r="E82" s="65"/>
      <c r="F82" s="72"/>
      <c r="G82" s="57"/>
      <c r="I82" s="51"/>
    </row>
    <row r="83" spans="1:9">
      <c r="A83" s="57"/>
      <c r="B83" s="10" t="s">
        <v>541</v>
      </c>
      <c r="C83" s="72"/>
      <c r="D83" s="72"/>
      <c r="E83" s="159"/>
      <c r="F83" s="72"/>
      <c r="G83" s="57"/>
      <c r="I83" s="51"/>
    </row>
    <row r="84" spans="1:9">
      <c r="A84" s="57"/>
      <c r="B84" s="10" t="s">
        <v>540</v>
      </c>
      <c r="C84" s="145"/>
      <c r="D84" s="72"/>
      <c r="E84" s="72"/>
      <c r="F84" s="72"/>
      <c r="G84" s="57"/>
      <c r="I84" s="51"/>
    </row>
    <row r="85" spans="1:9">
      <c r="A85" s="57"/>
      <c r="B85" s="138" t="s">
        <v>727</v>
      </c>
      <c r="C85" s="145"/>
      <c r="D85" s="72"/>
      <c r="E85" s="72"/>
      <c r="F85" s="72"/>
      <c r="G85" s="57"/>
      <c r="I85" s="51"/>
    </row>
    <row r="86" spans="1:9">
      <c r="A86" s="57"/>
      <c r="B86" s="10"/>
      <c r="C86" s="145"/>
      <c r="D86" s="72"/>
      <c r="E86" s="72"/>
      <c r="F86" s="72"/>
      <c r="G86" s="57"/>
      <c r="I86" s="51"/>
    </row>
    <row r="87" spans="1:9">
      <c r="A87" s="57"/>
      <c r="B87" s="55" t="s">
        <v>513</v>
      </c>
      <c r="C87" s="145"/>
      <c r="D87" s="72"/>
      <c r="E87" s="72"/>
      <c r="F87" s="72"/>
      <c r="G87" s="57"/>
      <c r="I87" s="51"/>
    </row>
    <row r="88" spans="1:9">
      <c r="A88" s="57"/>
      <c r="B88" s="10" t="s">
        <v>514</v>
      </c>
      <c r="C88" s="72"/>
      <c r="D88" s="145">
        <v>132876</v>
      </c>
      <c r="E88" s="65"/>
      <c r="F88" s="72"/>
      <c r="G88" s="57"/>
      <c r="I88" s="51"/>
    </row>
    <row r="89" spans="1:9">
      <c r="A89" s="57"/>
      <c r="B89" s="10" t="s">
        <v>472</v>
      </c>
      <c r="C89" s="72"/>
      <c r="D89" s="143">
        <v>-86370</v>
      </c>
      <c r="E89" s="65"/>
      <c r="F89" s="72"/>
      <c r="G89" s="57"/>
      <c r="I89" s="51"/>
    </row>
    <row r="90" spans="1:9">
      <c r="A90" s="57"/>
      <c r="B90" s="10" t="s">
        <v>505</v>
      </c>
      <c r="C90" s="72"/>
      <c r="D90" s="144">
        <v>-26576</v>
      </c>
      <c r="E90" s="160" t="s">
        <v>374</v>
      </c>
      <c r="F90" s="72"/>
      <c r="G90" s="57"/>
      <c r="I90" s="51" t="s">
        <v>374</v>
      </c>
    </row>
    <row r="91" spans="1:9">
      <c r="A91" s="57"/>
      <c r="B91" s="10" t="s">
        <v>677</v>
      </c>
      <c r="C91" s="72"/>
      <c r="D91" s="145">
        <f>SUM(D88:D90)</f>
        <v>19930</v>
      </c>
      <c r="E91" s="65"/>
      <c r="F91" s="72"/>
      <c r="G91" s="57"/>
      <c r="I91" s="51"/>
    </row>
    <row r="92" spans="1:9">
      <c r="A92" s="57"/>
      <c r="B92" s="57" t="s">
        <v>515</v>
      </c>
      <c r="C92" s="145"/>
      <c r="D92" s="72"/>
      <c r="E92" s="65"/>
      <c r="F92" s="72"/>
      <c r="G92" s="57"/>
      <c r="I92" s="51"/>
    </row>
    <row r="93" spans="1:9">
      <c r="A93" s="57"/>
      <c r="B93" s="57"/>
      <c r="C93" s="145"/>
      <c r="D93" s="72"/>
      <c r="E93" s="65"/>
      <c r="F93" s="72"/>
      <c r="G93" s="57"/>
      <c r="I93" s="51"/>
    </row>
    <row r="94" spans="1:9">
      <c r="A94" s="57"/>
      <c r="B94" s="57"/>
      <c r="C94" s="145"/>
      <c r="D94" s="72"/>
      <c r="E94" s="65"/>
      <c r="F94" s="72"/>
      <c r="G94" s="57"/>
      <c r="I94" s="51"/>
    </row>
    <row r="95" spans="1:9">
      <c r="A95" s="70" t="s">
        <v>475</v>
      </c>
      <c r="B95" s="70" t="s">
        <v>523</v>
      </c>
      <c r="C95" s="145"/>
      <c r="D95" s="72"/>
      <c r="E95" s="65"/>
      <c r="F95" s="72"/>
      <c r="G95" s="57"/>
      <c r="I95" s="51"/>
    </row>
    <row r="96" spans="1:9">
      <c r="A96" s="57"/>
      <c r="B96" s="10"/>
      <c r="C96" s="145"/>
      <c r="D96" s="72"/>
      <c r="E96" s="65"/>
      <c r="F96" s="72"/>
      <c r="G96" s="57"/>
      <c r="I96" s="51"/>
    </row>
    <row r="97" spans="1:9">
      <c r="A97" s="57"/>
      <c r="B97" s="55" t="s">
        <v>14</v>
      </c>
      <c r="C97" s="145"/>
      <c r="D97" s="72"/>
      <c r="E97" s="65"/>
      <c r="F97" s="72"/>
      <c r="G97" s="57"/>
      <c r="I97" s="51"/>
    </row>
    <row r="98" spans="1:9">
      <c r="A98" s="57"/>
      <c r="B98" s="10" t="s">
        <v>516</v>
      </c>
      <c r="C98" s="145"/>
      <c r="D98" s="145">
        <v>88736</v>
      </c>
      <c r="E98" s="65"/>
      <c r="F98" s="72"/>
      <c r="G98" s="57"/>
      <c r="I98" s="51"/>
    </row>
    <row r="99" spans="1:9">
      <c r="A99" s="57"/>
      <c r="B99" s="10" t="s">
        <v>472</v>
      </c>
      <c r="C99" s="145"/>
      <c r="D99" s="145">
        <f>-71400-9670</f>
        <v>-81070</v>
      </c>
      <c r="E99" s="65"/>
      <c r="F99" s="72"/>
      <c r="G99" s="57"/>
      <c r="I99" s="51"/>
    </row>
    <row r="100" spans="1:9">
      <c r="A100" s="57"/>
      <c r="B100" s="10" t="s">
        <v>473</v>
      </c>
      <c r="C100" s="145"/>
      <c r="D100" s="144">
        <v>-7665.83</v>
      </c>
      <c r="E100" s="160"/>
      <c r="F100" s="72"/>
      <c r="G100" s="57"/>
      <c r="I100" s="51"/>
    </row>
    <row r="101" spans="1:9">
      <c r="A101" s="57"/>
      <c r="B101" s="10" t="s">
        <v>677</v>
      </c>
      <c r="C101" s="145"/>
      <c r="D101" s="145">
        <f>SUM(D98:D100)</f>
        <v>0.17000000000007276</v>
      </c>
      <c r="E101" s="65"/>
      <c r="F101" s="72"/>
      <c r="G101" s="57"/>
      <c r="I101" s="51"/>
    </row>
    <row r="102" spans="1:9">
      <c r="A102" s="57"/>
      <c r="B102" s="10"/>
      <c r="C102" s="145"/>
      <c r="D102" s="158"/>
      <c r="E102" s="65"/>
      <c r="F102" s="72"/>
      <c r="G102" s="57"/>
      <c r="I102" s="51"/>
    </row>
    <row r="103" spans="1:9">
      <c r="A103" s="57"/>
      <c r="B103" s="54" t="s">
        <v>716</v>
      </c>
      <c r="C103" s="145"/>
      <c r="D103" s="158"/>
      <c r="E103" s="65"/>
      <c r="F103" s="72"/>
      <c r="G103" s="57"/>
      <c r="I103" s="51"/>
    </row>
    <row r="104" spans="1:9">
      <c r="A104" s="57"/>
      <c r="B104" s="133" t="s">
        <v>719</v>
      </c>
      <c r="C104" s="145"/>
      <c r="D104" s="158">
        <v>21894</v>
      </c>
      <c r="E104" s="65"/>
      <c r="F104" s="72"/>
      <c r="G104" s="57"/>
      <c r="I104" s="51"/>
    </row>
    <row r="105" spans="1:9">
      <c r="A105" s="57"/>
      <c r="B105" s="133" t="s">
        <v>721</v>
      </c>
      <c r="C105" s="145"/>
      <c r="D105" s="161">
        <v>-1094</v>
      </c>
      <c r="E105" s="65"/>
      <c r="F105" s="72"/>
      <c r="G105" s="57"/>
      <c r="I105" s="51"/>
    </row>
    <row r="106" spans="1:9">
      <c r="A106" s="57"/>
      <c r="B106" s="10" t="s">
        <v>677</v>
      </c>
      <c r="C106" s="145"/>
      <c r="D106" s="158">
        <f>SUM(D104:D105)</f>
        <v>20800</v>
      </c>
      <c r="E106" s="65"/>
      <c r="F106" s="72"/>
      <c r="G106" s="57"/>
      <c r="I106" s="51"/>
    </row>
    <row r="107" spans="1:9">
      <c r="A107" s="57"/>
      <c r="B107" s="133" t="s">
        <v>717</v>
      </c>
      <c r="C107" s="145"/>
      <c r="D107" s="72"/>
      <c r="E107" s="162"/>
      <c r="F107" s="72"/>
      <c r="G107" s="57"/>
      <c r="I107" s="51"/>
    </row>
    <row r="108" spans="1:9">
      <c r="A108" s="57"/>
      <c r="B108" s="10"/>
      <c r="C108" s="145"/>
      <c r="D108" s="72"/>
      <c r="E108" s="72"/>
      <c r="F108" s="72"/>
      <c r="G108" s="57"/>
      <c r="I108" s="51"/>
    </row>
    <row r="109" spans="1:9">
      <c r="A109" s="57"/>
      <c r="B109" s="54" t="s">
        <v>718</v>
      </c>
      <c r="C109" s="145"/>
      <c r="D109" s="72"/>
      <c r="E109" s="72"/>
      <c r="F109" s="72"/>
      <c r="G109" s="57"/>
      <c r="I109" s="51"/>
    </row>
    <row r="110" spans="1:9">
      <c r="A110" s="57"/>
      <c r="B110" s="133" t="s">
        <v>720</v>
      </c>
      <c r="C110" s="145"/>
      <c r="D110" s="135">
        <v>75000</v>
      </c>
      <c r="E110" s="72"/>
      <c r="F110" s="72"/>
      <c r="G110" s="57"/>
      <c r="I110" s="51"/>
    </row>
    <row r="111" spans="1:9">
      <c r="A111" s="57"/>
      <c r="B111" s="133" t="s">
        <v>721</v>
      </c>
      <c r="C111" s="145"/>
      <c r="D111" s="134">
        <v>-2500</v>
      </c>
      <c r="E111" s="72"/>
      <c r="F111" s="72"/>
      <c r="G111" s="57"/>
      <c r="I111" s="51"/>
    </row>
    <row r="112" spans="1:9">
      <c r="A112" s="57"/>
      <c r="B112" s="133" t="s">
        <v>677</v>
      </c>
      <c r="C112" s="145"/>
      <c r="D112" s="135">
        <f>SUM(D110:D111)</f>
        <v>72500</v>
      </c>
      <c r="E112" s="72"/>
      <c r="F112" s="72"/>
      <c r="G112" s="57"/>
      <c r="I112" s="51"/>
    </row>
    <row r="113" spans="1:9">
      <c r="A113" s="57"/>
      <c r="B113" s="133" t="s">
        <v>722</v>
      </c>
      <c r="C113" s="145"/>
      <c r="D113" s="72"/>
      <c r="E113" s="72"/>
      <c r="F113" s="72"/>
      <c r="G113" s="57"/>
      <c r="I113" s="51"/>
    </row>
    <row r="114" spans="1:9">
      <c r="A114" s="57"/>
      <c r="B114" s="10"/>
      <c r="C114" s="145"/>
      <c r="D114" s="72"/>
      <c r="E114" s="72"/>
      <c r="F114" s="72"/>
      <c r="G114" s="57"/>
      <c r="I114" s="51"/>
    </row>
    <row r="115" spans="1:9">
      <c r="A115" s="57"/>
      <c r="B115" s="54" t="s">
        <v>723</v>
      </c>
      <c r="C115" s="145"/>
      <c r="D115" s="72"/>
      <c r="E115" s="72"/>
      <c r="F115" s="72"/>
      <c r="G115" s="57"/>
      <c r="I115" s="51"/>
    </row>
    <row r="116" spans="1:9">
      <c r="A116" s="57"/>
      <c r="B116" s="133" t="s">
        <v>719</v>
      </c>
      <c r="C116" s="145"/>
      <c r="D116" s="135">
        <v>183774.94</v>
      </c>
      <c r="E116" s="72"/>
      <c r="F116" s="72"/>
      <c r="G116" s="57"/>
      <c r="I116" s="51"/>
    </row>
    <row r="117" spans="1:9">
      <c r="A117" s="57"/>
      <c r="B117" s="133" t="s">
        <v>724</v>
      </c>
      <c r="C117" s="145"/>
      <c r="D117" s="135">
        <v>-60000</v>
      </c>
      <c r="E117" s="72"/>
      <c r="F117" s="72"/>
      <c r="G117" s="57"/>
      <c r="I117" s="51"/>
    </row>
    <row r="118" spans="1:9">
      <c r="A118" s="57"/>
      <c r="B118" s="133" t="s">
        <v>721</v>
      </c>
      <c r="C118" s="145"/>
      <c r="D118" s="134">
        <v>-6194.94</v>
      </c>
      <c r="E118" s="72"/>
      <c r="F118" s="72"/>
      <c r="G118" s="57"/>
      <c r="I118" s="51"/>
    </row>
    <row r="119" spans="1:9">
      <c r="A119" s="57"/>
      <c r="B119" s="133" t="s">
        <v>677</v>
      </c>
      <c r="C119" s="145"/>
      <c r="D119" s="135">
        <f>SUM(D116:D118)</f>
        <v>117580</v>
      </c>
      <c r="E119" s="72"/>
      <c r="F119" s="72"/>
      <c r="G119" s="57"/>
      <c r="I119" s="51"/>
    </row>
    <row r="120" spans="1:9">
      <c r="A120" s="57"/>
      <c r="B120" s="133" t="s">
        <v>725</v>
      </c>
      <c r="C120" s="145"/>
      <c r="D120" s="72"/>
      <c r="E120" s="72"/>
      <c r="F120" s="72"/>
      <c r="G120" s="57"/>
      <c r="I120" s="51"/>
    </row>
    <row r="121" spans="1:9">
      <c r="A121" s="57"/>
      <c r="B121" s="10"/>
      <c r="C121" s="145"/>
      <c r="D121" s="72"/>
      <c r="E121" s="72"/>
      <c r="F121" s="72"/>
      <c r="G121" s="57"/>
      <c r="I121" s="51"/>
    </row>
    <row r="122" spans="1:9">
      <c r="A122" s="57"/>
      <c r="B122" s="10"/>
      <c r="C122" s="145"/>
      <c r="D122" s="72"/>
      <c r="E122" s="72"/>
      <c r="F122" s="72"/>
      <c r="G122" s="57"/>
      <c r="I122" s="51"/>
    </row>
    <row r="123" spans="1:9">
      <c r="A123" s="70" t="s">
        <v>477</v>
      </c>
      <c r="B123" s="54" t="s">
        <v>476</v>
      </c>
      <c r="C123" s="65"/>
      <c r="D123" s="65"/>
      <c r="E123" s="65"/>
      <c r="F123" s="65"/>
    </row>
    <row r="124" spans="1:9">
      <c r="A124" s="57"/>
      <c r="B124" s="10" t="s">
        <v>667</v>
      </c>
      <c r="C124" s="65"/>
      <c r="D124" s="65"/>
      <c r="E124" s="65"/>
      <c r="F124" s="65"/>
    </row>
    <row r="125" spans="1:9">
      <c r="A125" s="57"/>
      <c r="B125" s="10" t="s">
        <v>678</v>
      </c>
      <c r="C125" s="65"/>
      <c r="D125" s="65"/>
      <c r="E125" s="65"/>
      <c r="F125" s="65"/>
    </row>
    <row r="126" spans="1:9">
      <c r="B126" s="10"/>
      <c r="C126" s="65"/>
      <c r="D126" s="65"/>
      <c r="E126" s="65"/>
      <c r="F126" s="65"/>
    </row>
    <row r="127" spans="1:9">
      <c r="B127" s="10"/>
      <c r="C127" s="65"/>
      <c r="D127" s="65"/>
      <c r="E127" s="65"/>
      <c r="F127" s="65"/>
    </row>
    <row r="128" spans="1:9">
      <c r="A128" s="71" t="s">
        <v>479</v>
      </c>
      <c r="B128" s="54" t="s">
        <v>478</v>
      </c>
      <c r="C128" s="65"/>
      <c r="D128" s="65"/>
      <c r="E128" s="65"/>
      <c r="F128" s="65"/>
    </row>
    <row r="129" spans="1:9">
      <c r="B129" s="57" t="s">
        <v>527</v>
      </c>
      <c r="C129" s="163" t="s">
        <v>679</v>
      </c>
      <c r="D129" s="164" t="s">
        <v>534</v>
      </c>
      <c r="E129" s="165" t="s">
        <v>680</v>
      </c>
      <c r="F129" s="72"/>
      <c r="I129" s="51"/>
    </row>
    <row r="130" spans="1:9">
      <c r="B130" s="57" t="s">
        <v>528</v>
      </c>
      <c r="C130" s="158">
        <f>'Saldobalanse 2016'!F71</f>
        <v>-541013.30000000005</v>
      </c>
      <c r="D130" s="158"/>
      <c r="E130" s="166">
        <f>C130</f>
        <v>-541013.30000000005</v>
      </c>
      <c r="F130" s="72"/>
      <c r="I130" s="51"/>
    </row>
    <row r="131" spans="1:9">
      <c r="B131" s="73" t="s">
        <v>126</v>
      </c>
      <c r="C131" s="161">
        <f>'Saldobalanse 2016'!F72</f>
        <v>-96296.55</v>
      </c>
      <c r="D131" s="161"/>
      <c r="E131" s="167">
        <f>C131</f>
        <v>-96296.55</v>
      </c>
      <c r="F131" s="72"/>
      <c r="I131" s="51"/>
    </row>
    <row r="132" spans="1:9">
      <c r="B132" s="73"/>
      <c r="C132" s="158"/>
      <c r="D132" s="158"/>
      <c r="E132" s="168"/>
      <c r="F132" s="72"/>
      <c r="I132" s="51"/>
    </row>
    <row r="133" spans="1:9">
      <c r="B133" s="73" t="s">
        <v>531</v>
      </c>
      <c r="C133" s="158">
        <f>SUM(C130:C132)</f>
        <v>-637309.85000000009</v>
      </c>
      <c r="D133" s="158">
        <f>SUM(D130:D132)</f>
        <v>0</v>
      </c>
      <c r="E133" s="166">
        <f>SUM(E129:E132)</f>
        <v>-637309.85000000009</v>
      </c>
      <c r="F133" s="72" t="s">
        <v>374</v>
      </c>
      <c r="I133" s="51"/>
    </row>
    <row r="134" spans="1:9">
      <c r="B134" t="s">
        <v>374</v>
      </c>
      <c r="C134" s="169" t="s">
        <v>374</v>
      </c>
      <c r="D134" s="65"/>
      <c r="E134" s="72"/>
      <c r="F134" s="72"/>
      <c r="I134" s="51"/>
    </row>
    <row r="135" spans="1:9">
      <c r="C135" s="91" t="s">
        <v>679</v>
      </c>
      <c r="D135" s="91" t="s">
        <v>532</v>
      </c>
      <c r="E135" s="163" t="s">
        <v>680</v>
      </c>
      <c r="F135" s="72"/>
      <c r="I135" s="51"/>
    </row>
    <row r="136" spans="1:9">
      <c r="B136" s="73" t="s">
        <v>432</v>
      </c>
      <c r="C136" s="136">
        <v>-1144263.47</v>
      </c>
      <c r="D136" s="136" t="e">
        <f>'Saldobalanse 2016'!#REF!</f>
        <v>#REF!</v>
      </c>
      <c r="E136" s="136" t="e">
        <f>SUM(C136:D136)</f>
        <v>#REF!</v>
      </c>
      <c r="F136" s="72"/>
      <c r="I136" s="51"/>
    </row>
    <row r="137" spans="1:9">
      <c r="B137"/>
      <c r="C137" s="137"/>
      <c r="D137" s="137"/>
      <c r="E137" s="137"/>
      <c r="F137" s="72"/>
      <c r="G137" s="65"/>
      <c r="H137" s="65"/>
    </row>
    <row r="138" spans="1:9">
      <c r="B138" s="46" t="s">
        <v>533</v>
      </c>
      <c r="C138" s="137">
        <f t="shared" ref="C138:D138" si="0">C133+C136</f>
        <v>-1781573.32</v>
      </c>
      <c r="D138" s="137" t="e">
        <f t="shared" si="0"/>
        <v>#REF!</v>
      </c>
      <c r="E138" s="137" t="e">
        <f>E133+E136</f>
        <v>#REF!</v>
      </c>
      <c r="F138" s="72"/>
      <c r="G138" s="65"/>
      <c r="H138" s="65"/>
    </row>
    <row r="139" spans="1:9">
      <c r="B139" s="46"/>
      <c r="C139" s="137"/>
      <c r="D139" s="137"/>
      <c r="E139" s="137"/>
      <c r="F139" s="72"/>
      <c r="G139" s="65"/>
      <c r="H139" s="65"/>
    </row>
    <row r="140" spans="1:9">
      <c r="A140" s="57"/>
      <c r="B140" s="10"/>
      <c r="C140" s="57"/>
      <c r="D140" s="57"/>
      <c r="E140" s="57"/>
      <c r="F140" s="67"/>
      <c r="G140" s="57"/>
      <c r="H140" s="57"/>
      <c r="I140" s="51"/>
    </row>
    <row r="141" spans="1:9">
      <c r="A141" s="149" t="s">
        <v>758</v>
      </c>
    </row>
    <row r="142" spans="1:9">
      <c r="A142" s="149" t="s">
        <v>760</v>
      </c>
    </row>
    <row r="143" spans="1:9">
      <c r="A143" s="149" t="s">
        <v>761</v>
      </c>
    </row>
    <row r="145" spans="1:18">
      <c r="A145" s="387" t="s">
        <v>757</v>
      </c>
      <c r="B145" s="387" t="s">
        <v>1</v>
      </c>
      <c r="C145" s="387" t="s">
        <v>754</v>
      </c>
      <c r="D145" s="389" t="s">
        <v>755</v>
      </c>
      <c r="E145" s="391" t="s">
        <v>753</v>
      </c>
      <c r="F145" s="387" t="s">
        <v>756</v>
      </c>
    </row>
    <row r="146" spans="1:18" ht="13.8" thickBot="1">
      <c r="A146" s="388"/>
      <c r="B146" s="388"/>
      <c r="C146" s="388"/>
      <c r="D146" s="390"/>
      <c r="E146" s="392"/>
      <c r="F146" s="388"/>
    </row>
    <row r="147" spans="1:18">
      <c r="A147" s="186">
        <v>2001</v>
      </c>
      <c r="B147" s="187" t="s">
        <v>566</v>
      </c>
      <c r="C147" s="188">
        <v>-20729.099999999999</v>
      </c>
      <c r="D147" s="188">
        <v>0</v>
      </c>
      <c r="E147" s="189">
        <v>-4282</v>
      </c>
      <c r="F147" s="190">
        <f>SUM(C147:E147)</f>
        <v>-25011.1</v>
      </c>
    </row>
    <row r="148" spans="1:18">
      <c r="A148" s="191">
        <v>2002</v>
      </c>
      <c r="B148" s="182" t="s">
        <v>58</v>
      </c>
      <c r="C148" s="183">
        <v>23755.360000000001</v>
      </c>
      <c r="D148" s="183">
        <v>0</v>
      </c>
      <c r="E148" s="184">
        <v>-1802.71</v>
      </c>
      <c r="F148" s="192">
        <f t="shared" ref="F148:F190" si="1">SUM(C148:E148)</f>
        <v>21952.65</v>
      </c>
    </row>
    <row r="149" spans="1:18">
      <c r="A149" s="191">
        <v>2003</v>
      </c>
      <c r="B149" s="182" t="s">
        <v>60</v>
      </c>
      <c r="C149" s="183">
        <v>-16881.82</v>
      </c>
      <c r="D149" s="183">
        <v>0</v>
      </c>
      <c r="E149" s="184">
        <v>6816.66</v>
      </c>
      <c r="F149" s="192">
        <f t="shared" si="1"/>
        <v>-10065.16</v>
      </c>
    </row>
    <row r="150" spans="1:18">
      <c r="A150" s="191">
        <v>2004</v>
      </c>
      <c r="B150" s="182" t="s">
        <v>62</v>
      </c>
      <c r="C150" s="183">
        <v>-40292.99</v>
      </c>
      <c r="D150" s="183">
        <v>0</v>
      </c>
      <c r="E150" s="184">
        <v>1587</v>
      </c>
      <c r="F150" s="192">
        <f t="shared" si="1"/>
        <v>-38705.99</v>
      </c>
    </row>
    <row r="151" spans="1:18">
      <c r="A151" s="191">
        <v>2005</v>
      </c>
      <c r="B151" s="182" t="s">
        <v>64</v>
      </c>
      <c r="C151" s="183">
        <v>18095.27</v>
      </c>
      <c r="D151" s="183">
        <v>0</v>
      </c>
      <c r="E151" s="184">
        <v>-4298.1499999999996</v>
      </c>
      <c r="F151" s="192">
        <f t="shared" si="1"/>
        <v>13797.12</v>
      </c>
    </row>
    <row r="152" spans="1:18">
      <c r="A152" s="191">
        <v>2006</v>
      </c>
      <c r="B152" s="182" t="s">
        <v>66</v>
      </c>
      <c r="C152" s="183">
        <v>-4990.8900000000003</v>
      </c>
      <c r="D152" s="183">
        <v>0</v>
      </c>
      <c r="E152" s="184">
        <v>-16683.98</v>
      </c>
      <c r="F152" s="192">
        <f t="shared" si="1"/>
        <v>-21674.87</v>
      </c>
      <c r="R152" s="65"/>
    </row>
    <row r="153" spans="1:18">
      <c r="A153" s="191">
        <v>2007</v>
      </c>
      <c r="B153" s="182" t="s">
        <v>68</v>
      </c>
      <c r="C153" s="183">
        <v>-32661.9</v>
      </c>
      <c r="D153" s="183">
        <v>0</v>
      </c>
      <c r="E153" s="184">
        <v>-9619.68</v>
      </c>
      <c r="F153" s="192">
        <f t="shared" si="1"/>
        <v>-42281.58</v>
      </c>
    </row>
    <row r="154" spans="1:18">
      <c r="A154" s="191">
        <v>2008</v>
      </c>
      <c r="B154" s="182" t="s">
        <v>70</v>
      </c>
      <c r="C154" s="183">
        <v>43398.95</v>
      </c>
      <c r="D154" s="183">
        <v>0</v>
      </c>
      <c r="E154" s="184">
        <v>-6662.08</v>
      </c>
      <c r="F154" s="192">
        <f t="shared" si="1"/>
        <v>36736.869999999995</v>
      </c>
    </row>
    <row r="155" spans="1:18">
      <c r="A155" s="191">
        <v>2009</v>
      </c>
      <c r="B155" s="182" t="s">
        <v>567</v>
      </c>
      <c r="C155" s="183">
        <v>-63925.599999999999</v>
      </c>
      <c r="D155" s="183">
        <v>0</v>
      </c>
      <c r="E155" s="184">
        <v>-2564.79</v>
      </c>
      <c r="F155" s="192">
        <f t="shared" si="1"/>
        <v>-66490.39</v>
      </c>
    </row>
    <row r="156" spans="1:18">
      <c r="A156" s="191">
        <v>2010</v>
      </c>
      <c r="B156" s="182" t="s">
        <v>74</v>
      </c>
      <c r="C156" s="183">
        <v>27398.400000000001</v>
      </c>
      <c r="D156" s="183">
        <v>0</v>
      </c>
      <c r="E156" s="184">
        <v>16786.900000000001</v>
      </c>
      <c r="F156" s="192">
        <f t="shared" si="1"/>
        <v>44185.3</v>
      </c>
    </row>
    <row r="157" spans="1:18">
      <c r="A157" s="191">
        <v>2011</v>
      </c>
      <c r="B157" s="182" t="s">
        <v>76</v>
      </c>
      <c r="C157" s="183">
        <v>-6083.9</v>
      </c>
      <c r="D157" s="183">
        <v>0</v>
      </c>
      <c r="E157" s="184">
        <v>917.79</v>
      </c>
      <c r="F157" s="192">
        <f t="shared" si="1"/>
        <v>-5166.1099999999997</v>
      </c>
    </row>
    <row r="158" spans="1:18">
      <c r="A158" s="191">
        <v>2012</v>
      </c>
      <c r="B158" s="182" t="s">
        <v>78</v>
      </c>
      <c r="C158" s="183">
        <v>136830.25</v>
      </c>
      <c r="D158" s="183">
        <v>-32081.25</v>
      </c>
      <c r="E158" s="184">
        <v>-91392.23</v>
      </c>
      <c r="F158" s="192">
        <f t="shared" si="1"/>
        <v>13356.770000000004</v>
      </c>
    </row>
    <row r="159" spans="1:18">
      <c r="A159" s="191">
        <v>2013</v>
      </c>
      <c r="B159" s="182" t="s">
        <v>80</v>
      </c>
      <c r="C159" s="183">
        <v>122109.75999999999</v>
      </c>
      <c r="D159" s="183">
        <v>0</v>
      </c>
      <c r="E159" s="184">
        <v>-21161.38</v>
      </c>
      <c r="F159" s="192">
        <f t="shared" si="1"/>
        <v>100948.37999999999</v>
      </c>
    </row>
    <row r="160" spans="1:18">
      <c r="A160" s="191">
        <v>2014</v>
      </c>
      <c r="B160" s="182" t="s">
        <v>82</v>
      </c>
      <c r="C160" s="183">
        <v>-9419.65</v>
      </c>
      <c r="D160" s="183">
        <v>0</v>
      </c>
      <c r="E160" s="184">
        <v>-4078.5</v>
      </c>
      <c r="F160" s="192">
        <f t="shared" si="1"/>
        <v>-13498.15</v>
      </c>
    </row>
    <row r="161" spans="1:6">
      <c r="A161" s="191">
        <v>2015</v>
      </c>
      <c r="B161" s="182" t="s">
        <v>84</v>
      </c>
      <c r="C161" s="183">
        <v>11912.34</v>
      </c>
      <c r="D161" s="183">
        <v>0</v>
      </c>
      <c r="E161" s="184">
        <v>-1032</v>
      </c>
      <c r="F161" s="192">
        <f t="shared" si="1"/>
        <v>10880.34</v>
      </c>
    </row>
    <row r="162" spans="1:6">
      <c r="A162" s="191">
        <v>2016</v>
      </c>
      <c r="B162" s="182" t="s">
        <v>86</v>
      </c>
      <c r="C162" s="183">
        <v>-28072.51</v>
      </c>
      <c r="D162" s="183">
        <v>0</v>
      </c>
      <c r="E162" s="184">
        <v>20347.53</v>
      </c>
      <c r="F162" s="192">
        <f t="shared" si="1"/>
        <v>-7724.98</v>
      </c>
    </row>
    <row r="163" spans="1:6">
      <c r="A163" s="191">
        <v>2017</v>
      </c>
      <c r="B163" s="182" t="s">
        <v>88</v>
      </c>
      <c r="C163" s="183">
        <v>44149.94</v>
      </c>
      <c r="D163" s="183">
        <v>0</v>
      </c>
      <c r="E163" s="184">
        <v>10998.66</v>
      </c>
      <c r="F163" s="192">
        <f t="shared" si="1"/>
        <v>55148.600000000006</v>
      </c>
    </row>
    <row r="164" spans="1:6">
      <c r="A164" s="191">
        <v>2018</v>
      </c>
      <c r="B164" s="182" t="s">
        <v>90</v>
      </c>
      <c r="C164" s="183">
        <v>5587.92</v>
      </c>
      <c r="D164" s="183">
        <v>0</v>
      </c>
      <c r="E164" s="184">
        <v>-7594.8</v>
      </c>
      <c r="F164" s="192">
        <f t="shared" si="1"/>
        <v>-2006.88</v>
      </c>
    </row>
    <row r="165" spans="1:6">
      <c r="A165" s="191">
        <v>2019</v>
      </c>
      <c r="B165" s="182" t="s">
        <v>568</v>
      </c>
      <c r="C165" s="183">
        <v>19524.919999999998</v>
      </c>
      <c r="D165" s="183">
        <v>0</v>
      </c>
      <c r="E165" s="184">
        <v>2891</v>
      </c>
      <c r="F165" s="192">
        <f t="shared" si="1"/>
        <v>22415.919999999998</v>
      </c>
    </row>
    <row r="166" spans="1:6">
      <c r="A166" s="191">
        <v>2020</v>
      </c>
      <c r="B166" s="182" t="s">
        <v>94</v>
      </c>
      <c r="C166" s="183">
        <v>-27969.06</v>
      </c>
      <c r="D166" s="183">
        <v>0</v>
      </c>
      <c r="E166" s="184">
        <v>8222.77</v>
      </c>
      <c r="F166" s="192">
        <f t="shared" si="1"/>
        <v>-19746.29</v>
      </c>
    </row>
    <row r="167" spans="1:6">
      <c r="A167" s="191">
        <v>2024</v>
      </c>
      <c r="B167" s="182" t="s">
        <v>96</v>
      </c>
      <c r="C167" s="183">
        <v>-27201.53</v>
      </c>
      <c r="D167" s="183">
        <v>18720</v>
      </c>
      <c r="E167" s="184">
        <v>-109156.43</v>
      </c>
      <c r="F167" s="192">
        <f t="shared" si="1"/>
        <v>-117637.95999999999</v>
      </c>
    </row>
    <row r="168" spans="1:6">
      <c r="A168" s="191">
        <v>2025</v>
      </c>
      <c r="B168" s="182" t="s">
        <v>98</v>
      </c>
      <c r="C168" s="183">
        <v>-1021.61</v>
      </c>
      <c r="D168" s="183">
        <v>0</v>
      </c>
      <c r="E168" s="184">
        <v>0</v>
      </c>
      <c r="F168" s="192">
        <f t="shared" si="1"/>
        <v>-1021.61</v>
      </c>
    </row>
    <row r="169" spans="1:6">
      <c r="A169" s="191">
        <v>2026</v>
      </c>
      <c r="B169" s="182" t="s">
        <v>100</v>
      </c>
      <c r="C169" s="183">
        <v>-13919.65</v>
      </c>
      <c r="D169" s="183">
        <v>0</v>
      </c>
      <c r="E169" s="184">
        <v>0</v>
      </c>
      <c r="F169" s="192">
        <f t="shared" si="1"/>
        <v>-13919.65</v>
      </c>
    </row>
    <row r="170" spans="1:6">
      <c r="A170" s="191">
        <v>2027</v>
      </c>
      <c r="B170" s="182" t="s">
        <v>102</v>
      </c>
      <c r="C170" s="183">
        <v>2803.39</v>
      </c>
      <c r="D170" s="183">
        <v>0</v>
      </c>
      <c r="E170" s="184">
        <v>-7807</v>
      </c>
      <c r="F170" s="192">
        <f t="shared" si="1"/>
        <v>-5003.6100000000006</v>
      </c>
    </row>
    <row r="171" spans="1:6">
      <c r="A171" s="191">
        <v>2028</v>
      </c>
      <c r="B171" s="182" t="s">
        <v>569</v>
      </c>
      <c r="C171" s="183">
        <v>-12292.03</v>
      </c>
      <c r="D171" s="183">
        <v>0</v>
      </c>
      <c r="E171" s="184">
        <v>-17609.95</v>
      </c>
      <c r="F171" s="192">
        <f t="shared" si="1"/>
        <v>-29901.980000000003</v>
      </c>
    </row>
    <row r="172" spans="1:6">
      <c r="A172" s="191">
        <v>2029</v>
      </c>
      <c r="B172" s="182" t="s">
        <v>106</v>
      </c>
      <c r="C172" s="183">
        <v>8073.43</v>
      </c>
      <c r="D172" s="183">
        <v>0</v>
      </c>
      <c r="E172" s="184">
        <v>-6913.31</v>
      </c>
      <c r="F172" s="192">
        <f t="shared" si="1"/>
        <v>1160.1199999999999</v>
      </c>
    </row>
    <row r="173" spans="1:6">
      <c r="A173" s="191">
        <v>2030</v>
      </c>
      <c r="B173" s="182" t="s">
        <v>108</v>
      </c>
      <c r="C173" s="183">
        <v>-37346.86</v>
      </c>
      <c r="D173" s="183">
        <v>0</v>
      </c>
      <c r="E173" s="184">
        <v>-4957</v>
      </c>
      <c r="F173" s="192">
        <f t="shared" si="1"/>
        <v>-42303.86</v>
      </c>
    </row>
    <row r="174" spans="1:6">
      <c r="A174" s="191">
        <v>2031</v>
      </c>
      <c r="B174" s="182" t="s">
        <v>570</v>
      </c>
      <c r="C174" s="183">
        <v>-49413.58</v>
      </c>
      <c r="D174" s="183">
        <v>0</v>
      </c>
      <c r="E174" s="184">
        <v>-98111.71</v>
      </c>
      <c r="F174" s="192">
        <f t="shared" si="1"/>
        <v>-147525.29</v>
      </c>
    </row>
    <row r="175" spans="1:6">
      <c r="A175" s="191">
        <v>2032</v>
      </c>
      <c r="B175" s="182" t="s">
        <v>112</v>
      </c>
      <c r="C175" s="183">
        <v>4329.5200000000004</v>
      </c>
      <c r="D175" s="183">
        <v>0</v>
      </c>
      <c r="E175" s="184">
        <v>-10078.370000000001</v>
      </c>
      <c r="F175" s="192">
        <f t="shared" si="1"/>
        <v>-5748.85</v>
      </c>
    </row>
    <row r="176" spans="1:6">
      <c r="A176" s="191">
        <v>2034</v>
      </c>
      <c r="B176" s="182" t="s">
        <v>114</v>
      </c>
      <c r="C176" s="183">
        <v>-21062.97</v>
      </c>
      <c r="D176" s="183">
        <v>0</v>
      </c>
      <c r="E176" s="184">
        <v>-19379.900000000001</v>
      </c>
      <c r="F176" s="192">
        <f t="shared" si="1"/>
        <v>-40442.870000000003</v>
      </c>
    </row>
    <row r="177" spans="1:6">
      <c r="A177" s="191">
        <v>2035</v>
      </c>
      <c r="B177" s="182" t="s">
        <v>116</v>
      </c>
      <c r="C177" s="183">
        <v>-85564.91</v>
      </c>
      <c r="D177" s="183">
        <v>0</v>
      </c>
      <c r="E177" s="184">
        <v>-32102.31</v>
      </c>
      <c r="F177" s="192">
        <f t="shared" si="1"/>
        <v>-117667.22</v>
      </c>
    </row>
    <row r="178" spans="1:6">
      <c r="A178" s="191">
        <v>2036</v>
      </c>
      <c r="B178" s="182" t="s">
        <v>571</v>
      </c>
      <c r="C178" s="183">
        <v>-732</v>
      </c>
      <c r="D178" s="183">
        <v>0</v>
      </c>
      <c r="E178" s="184">
        <v>11362.3</v>
      </c>
      <c r="F178" s="192">
        <f t="shared" si="1"/>
        <v>10630.3</v>
      </c>
    </row>
    <row r="179" spans="1:6">
      <c r="A179" s="191">
        <v>2037</v>
      </c>
      <c r="B179" s="182" t="s">
        <v>572</v>
      </c>
      <c r="C179" s="183">
        <v>-236248.25</v>
      </c>
      <c r="D179" s="183">
        <v>0</v>
      </c>
      <c r="E179" s="184">
        <v>62933.3</v>
      </c>
      <c r="F179" s="192">
        <f t="shared" si="1"/>
        <v>-173314.95</v>
      </c>
    </row>
    <row r="180" spans="1:6">
      <c r="A180" s="191">
        <v>2038</v>
      </c>
      <c r="B180" s="182" t="s">
        <v>573</v>
      </c>
      <c r="C180" s="183">
        <v>-17696.349999999999</v>
      </c>
      <c r="D180" s="183">
        <v>0</v>
      </c>
      <c r="E180" s="184">
        <v>-2443.5300000000002</v>
      </c>
      <c r="F180" s="192">
        <f t="shared" si="1"/>
        <v>-20139.879999999997</v>
      </c>
    </row>
    <row r="181" spans="1:6">
      <c r="A181" s="191">
        <v>2039</v>
      </c>
      <c r="B181" s="185" t="s">
        <v>751</v>
      </c>
      <c r="C181" s="183">
        <v>0</v>
      </c>
      <c r="D181" s="183">
        <v>0</v>
      </c>
      <c r="E181" s="184">
        <v>-6174.7</v>
      </c>
      <c r="F181" s="192">
        <f t="shared" si="1"/>
        <v>-6174.7</v>
      </c>
    </row>
    <row r="182" spans="1:6">
      <c r="A182" s="191">
        <v>2040</v>
      </c>
      <c r="B182" s="182" t="s">
        <v>528</v>
      </c>
      <c r="C182" s="183">
        <v>-541013.30000000005</v>
      </c>
      <c r="D182" s="183">
        <v>0</v>
      </c>
      <c r="E182" s="184">
        <v>0</v>
      </c>
      <c r="F182" s="192">
        <f t="shared" si="1"/>
        <v>-541013.30000000005</v>
      </c>
    </row>
    <row r="183" spans="1:6">
      <c r="A183" s="191">
        <v>2041</v>
      </c>
      <c r="B183" s="182" t="s">
        <v>126</v>
      </c>
      <c r="C183" s="183">
        <v>-96296.55</v>
      </c>
      <c r="D183" s="183">
        <v>0</v>
      </c>
      <c r="E183" s="184">
        <v>0</v>
      </c>
      <c r="F183" s="192">
        <f t="shared" si="1"/>
        <v>-96296.55</v>
      </c>
    </row>
    <row r="184" spans="1:6">
      <c r="A184" s="191">
        <v>2045</v>
      </c>
      <c r="B184" s="182" t="s">
        <v>128</v>
      </c>
      <c r="C184" s="183">
        <v>79744.58</v>
      </c>
      <c r="D184" s="183">
        <v>0</v>
      </c>
      <c r="E184" s="184">
        <v>-45123</v>
      </c>
      <c r="F184" s="192">
        <f t="shared" si="1"/>
        <v>34621.58</v>
      </c>
    </row>
    <row r="185" spans="1:6">
      <c r="A185" s="191"/>
      <c r="B185" s="182" t="s">
        <v>752</v>
      </c>
      <c r="C185" s="183">
        <v>0</v>
      </c>
      <c r="D185" s="183">
        <v>0</v>
      </c>
      <c r="E185" s="184">
        <v>-11626</v>
      </c>
      <c r="F185" s="192">
        <f t="shared" si="1"/>
        <v>-11626</v>
      </c>
    </row>
    <row r="186" spans="1:6">
      <c r="A186" s="191">
        <v>2050</v>
      </c>
      <c r="B186" s="182" t="s">
        <v>694</v>
      </c>
      <c r="C186" s="183">
        <v>-63882.63</v>
      </c>
      <c r="D186" s="183">
        <v>0</v>
      </c>
      <c r="E186" s="184">
        <v>126391.96</v>
      </c>
      <c r="F186" s="192">
        <f t="shared" si="1"/>
        <v>62509.330000000009</v>
      </c>
    </row>
    <row r="187" spans="1:6">
      <c r="A187" s="191">
        <v>2055</v>
      </c>
      <c r="B187" s="182" t="s">
        <v>574</v>
      </c>
      <c r="C187" s="183">
        <v>102638.17</v>
      </c>
      <c r="D187" s="183">
        <v>13361.25</v>
      </c>
      <c r="E187" s="184">
        <v>1083428.82</v>
      </c>
      <c r="F187" s="192">
        <f t="shared" si="1"/>
        <v>1199428.24</v>
      </c>
    </row>
    <row r="188" spans="1:6">
      <c r="A188" s="191">
        <v>2070</v>
      </c>
      <c r="B188" s="182" t="s">
        <v>134</v>
      </c>
      <c r="C188" s="183">
        <v>-598395.06000000006</v>
      </c>
      <c r="D188" s="183">
        <v>0</v>
      </c>
      <c r="E188" s="184">
        <v>-89130.01</v>
      </c>
      <c r="F188" s="192">
        <f t="shared" si="1"/>
        <v>-687525.07000000007</v>
      </c>
    </row>
    <row r="189" spans="1:6">
      <c r="A189" s="191">
        <v>2080</v>
      </c>
      <c r="B189" s="182" t="s">
        <v>136</v>
      </c>
      <c r="C189" s="183">
        <v>-379860.82</v>
      </c>
      <c r="D189" s="183">
        <v>0</v>
      </c>
      <c r="E189" s="184">
        <v>-289596.42</v>
      </c>
      <c r="F189" s="192">
        <f t="shared" si="1"/>
        <v>-669457.24</v>
      </c>
    </row>
    <row r="190" spans="1:6">
      <c r="A190" s="191">
        <v>2090</v>
      </c>
      <c r="B190" s="182" t="s">
        <v>695</v>
      </c>
      <c r="C190" s="183">
        <v>1050</v>
      </c>
      <c r="D190" s="183">
        <v>0</v>
      </c>
      <c r="E190" s="184">
        <v>76222.94</v>
      </c>
      <c r="F190" s="192">
        <f t="shared" si="1"/>
        <v>77272.94</v>
      </c>
    </row>
    <row r="191" spans="1:6" ht="13.8" thickBot="1">
      <c r="A191" s="193"/>
      <c r="B191" s="196" t="s">
        <v>759</v>
      </c>
      <c r="C191" s="194">
        <f>SUM(C147:C190)</f>
        <v>-1781573.32</v>
      </c>
      <c r="D191" s="194">
        <f>SUM(D147:D190)</f>
        <v>0</v>
      </c>
      <c r="E191" s="194">
        <f>SUM(E147:E190)</f>
        <v>507525.68999999994</v>
      </c>
      <c r="F191" s="195">
        <f>SUM(F147:F190)</f>
        <v>-1274047.6299999999</v>
      </c>
    </row>
    <row r="192" spans="1:6">
      <c r="C192" s="150"/>
      <c r="D192" s="150"/>
      <c r="E192" s="150"/>
      <c r="F192" s="150"/>
    </row>
    <row r="193" spans="1:5">
      <c r="E193" s="78"/>
    </row>
    <row r="194" spans="1:5">
      <c r="A194" s="56" t="s">
        <v>480</v>
      </c>
      <c r="B194" s="54" t="s">
        <v>482</v>
      </c>
      <c r="E194" s="78"/>
    </row>
    <row r="195" spans="1:5">
      <c r="B195" s="76" t="s">
        <v>737</v>
      </c>
      <c r="C195" s="65"/>
      <c r="D195" s="65"/>
    </row>
    <row r="197" spans="1:5">
      <c r="A197" s="56" t="s">
        <v>374</v>
      </c>
      <c r="B197" s="56" t="s">
        <v>374</v>
      </c>
    </row>
    <row r="198" spans="1:5">
      <c r="A198" s="56" t="s">
        <v>481</v>
      </c>
      <c r="B198" s="56" t="s">
        <v>743</v>
      </c>
    </row>
    <row r="199" spans="1:5">
      <c r="B199" s="146" t="s">
        <v>744</v>
      </c>
      <c r="C199" s="65"/>
      <c r="D199" s="65"/>
    </row>
    <row r="200" spans="1:5">
      <c r="B200" s="149" t="s">
        <v>745</v>
      </c>
    </row>
    <row r="201" spans="1:5">
      <c r="B201" s="149" t="s">
        <v>746</v>
      </c>
    </row>
    <row r="202" spans="1:5">
      <c r="B202" s="149" t="s">
        <v>747</v>
      </c>
    </row>
    <row r="203" spans="1:5">
      <c r="B203" s="149" t="s">
        <v>748</v>
      </c>
    </row>
    <row r="204" spans="1:5">
      <c r="B204" s="149" t="s">
        <v>749</v>
      </c>
    </row>
    <row r="205" spans="1:5">
      <c r="B205" s="149" t="s">
        <v>750</v>
      </c>
    </row>
  </sheetData>
  <mergeCells count="6">
    <mergeCell ref="E145:E146"/>
    <mergeCell ref="D145:D146"/>
    <mergeCell ref="C145:C146"/>
    <mergeCell ref="F145:F146"/>
    <mergeCell ref="A145:A146"/>
    <mergeCell ref="B145:B146"/>
  </mergeCells>
  <pageMargins left="0.7" right="0.7" top="0.75" bottom="0.75" header="0.3" footer="0.3"/>
  <pageSetup paperSize="9" scale="6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224"/>
  <sheetViews>
    <sheetView topLeftCell="C175" workbookViewId="0">
      <selection activeCell="M199" sqref="M199"/>
    </sheetView>
  </sheetViews>
  <sheetFormatPr baseColWidth="10" defaultColWidth="11.5546875" defaultRowHeight="13.2"/>
  <cols>
    <col min="1" max="1" width="13.5546875" customWidth="1"/>
    <col min="2" max="2" width="43.109375" bestFit="1" customWidth="1"/>
    <col min="3" max="3" width="17.88671875" style="106" bestFit="1" customWidth="1"/>
    <col min="4" max="4" width="19.88671875" style="106" bestFit="1" customWidth="1"/>
    <col min="5" max="5" width="17.109375" style="106" bestFit="1" customWidth="1"/>
    <col min="6" max="8" width="13.44140625" bestFit="1" customWidth="1"/>
    <col min="10" max="10" width="40.33203125" bestFit="1" customWidth="1"/>
    <col min="11" max="13" width="15.5546875" style="131" bestFit="1" customWidth="1"/>
    <col min="14" max="14" width="13.44140625" style="131" bestFit="1" customWidth="1"/>
    <col min="15" max="16" width="12.33203125" bestFit="1" customWidth="1"/>
  </cols>
  <sheetData>
    <row r="1" spans="1:39" ht="21" customHeight="1">
      <c r="A1" s="105" t="s">
        <v>543</v>
      </c>
      <c r="I1" s="105" t="s">
        <v>687</v>
      </c>
    </row>
    <row r="2" spans="1:39" ht="14.4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  <c r="I2" s="3" t="s">
        <v>544</v>
      </c>
      <c r="J2" s="3" t="s">
        <v>545</v>
      </c>
      <c r="K2" s="131" t="s">
        <v>546</v>
      </c>
      <c r="L2" s="131" t="s">
        <v>547</v>
      </c>
      <c r="M2" s="131" t="s">
        <v>548</v>
      </c>
    </row>
    <row r="3" spans="1:39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  <c r="I3">
        <v>1000</v>
      </c>
      <c r="J3" s="108" t="s">
        <v>549</v>
      </c>
      <c r="K3" s="23">
        <v>94379.58</v>
      </c>
      <c r="L3" s="23">
        <v>-94379.58</v>
      </c>
      <c r="M3" s="23">
        <v>0</v>
      </c>
      <c r="N3" s="23">
        <f>M3</f>
        <v>0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  <c r="I4">
        <v>1101</v>
      </c>
      <c r="J4" s="108" t="s">
        <v>508</v>
      </c>
      <c r="K4" s="23">
        <v>1287790</v>
      </c>
      <c r="L4" s="23">
        <v>0</v>
      </c>
      <c r="M4" s="23">
        <v>1287790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  <c r="I5">
        <v>1102</v>
      </c>
      <c r="J5" s="108" t="s">
        <v>512</v>
      </c>
      <c r="K5" s="23">
        <v>45000</v>
      </c>
      <c r="L5" s="23">
        <v>0</v>
      </c>
      <c r="M5" s="23">
        <v>45000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  <c r="I6">
        <v>1110</v>
      </c>
      <c r="J6" s="108" t="s">
        <v>550</v>
      </c>
      <c r="K6" s="23">
        <v>46505.8</v>
      </c>
      <c r="L6" s="23">
        <v>-26576</v>
      </c>
      <c r="M6" s="23">
        <v>19929.8</v>
      </c>
      <c r="N6" s="23">
        <f>SUM(M4:M6)</f>
        <v>1352719.8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</row>
    <row r="7" spans="1:39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  <c r="I7">
        <v>1250</v>
      </c>
      <c r="J7" s="108" t="s">
        <v>14</v>
      </c>
      <c r="K7" s="23">
        <v>7665.83</v>
      </c>
      <c r="L7" s="23">
        <v>-7666</v>
      </c>
      <c r="M7" s="33">
        <f>-0.17+0.17</f>
        <v>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spans="1:39">
      <c r="A8">
        <v>1251</v>
      </c>
      <c r="B8" s="108" t="s">
        <v>688</v>
      </c>
      <c r="E8" s="110"/>
      <c r="I8">
        <v>1251</v>
      </c>
      <c r="J8" s="108" t="s">
        <v>688</v>
      </c>
      <c r="K8" s="23">
        <v>0</v>
      </c>
      <c r="L8" s="23">
        <v>20800</v>
      </c>
      <c r="M8" s="33">
        <v>20800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spans="1:39">
      <c r="A9">
        <v>1252</v>
      </c>
      <c r="B9" s="108" t="s">
        <v>689</v>
      </c>
      <c r="E9" s="110"/>
      <c r="I9">
        <v>1252</v>
      </c>
      <c r="J9" s="108" t="s">
        <v>689</v>
      </c>
      <c r="K9" s="23">
        <v>0</v>
      </c>
      <c r="L9" s="23">
        <v>117580</v>
      </c>
      <c r="M9" s="33">
        <v>117580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spans="1:39">
      <c r="A10">
        <v>1253</v>
      </c>
      <c r="B10" s="108" t="s">
        <v>690</v>
      </c>
      <c r="E10" s="110"/>
      <c r="I10">
        <v>1253</v>
      </c>
      <c r="J10" s="108" t="s">
        <v>690</v>
      </c>
      <c r="K10" s="23">
        <v>0</v>
      </c>
      <c r="L10" s="23">
        <v>72500</v>
      </c>
      <c r="M10" s="33">
        <v>72500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spans="1:39">
      <c r="A11">
        <v>1256</v>
      </c>
      <c r="B11" s="108" t="s">
        <v>551</v>
      </c>
      <c r="C11" s="106">
        <v>15000</v>
      </c>
      <c r="D11" s="106">
        <v>-15000</v>
      </c>
      <c r="E11" s="110">
        <v>0</v>
      </c>
      <c r="F11" s="111">
        <f>SUM(E7:E11)</f>
        <v>7665.83</v>
      </c>
      <c r="G11" s="109">
        <f>SUM(F3:F11)</f>
        <v>1481341.2100000002</v>
      </c>
      <c r="I11">
        <v>1256</v>
      </c>
      <c r="J11" s="108" t="s">
        <v>551</v>
      </c>
      <c r="K11" s="23"/>
      <c r="L11" s="23"/>
      <c r="M11" s="33"/>
      <c r="N11" s="33">
        <f>SUM(M7:M11)</f>
        <v>210880</v>
      </c>
      <c r="O11" s="23">
        <f>SUM(N3:N11)</f>
        <v>1563599.8</v>
      </c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spans="1:39">
      <c r="A12">
        <v>1465</v>
      </c>
      <c r="B12" s="108" t="s">
        <v>18</v>
      </c>
      <c r="C12" s="106">
        <v>67310.5</v>
      </c>
      <c r="D12" s="106">
        <v>0</v>
      </c>
      <c r="E12" s="106">
        <v>67310.5</v>
      </c>
      <c r="F12" s="109">
        <f>E12</f>
        <v>67310.5</v>
      </c>
      <c r="I12">
        <v>1465</v>
      </c>
      <c r="J12" s="108" t="s">
        <v>18</v>
      </c>
      <c r="K12" s="23">
        <v>67310.5</v>
      </c>
      <c r="L12" s="23">
        <v>73071.5</v>
      </c>
      <c r="M12" s="23">
        <v>48127</v>
      </c>
      <c r="N12" s="23">
        <f>M12</f>
        <v>48127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</row>
    <row r="13" spans="1:39">
      <c r="A13">
        <v>1500</v>
      </c>
      <c r="B13" s="108" t="s">
        <v>552</v>
      </c>
      <c r="C13" s="106">
        <v>230160.54</v>
      </c>
      <c r="D13" s="106">
        <v>-105456.54</v>
      </c>
      <c r="E13" s="112">
        <v>124704</v>
      </c>
      <c r="F13" s="113">
        <f>E13</f>
        <v>124704</v>
      </c>
      <c r="I13">
        <v>1500</v>
      </c>
      <c r="J13" s="108" t="s">
        <v>552</v>
      </c>
      <c r="K13" s="23">
        <v>124704</v>
      </c>
      <c r="L13" s="23">
        <v>46794</v>
      </c>
      <c r="M13" s="32">
        <v>171498</v>
      </c>
      <c r="N13" s="32">
        <f>M13+M15</f>
        <v>85930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</row>
    <row r="14" spans="1:39">
      <c r="A14">
        <v>1516</v>
      </c>
      <c r="B14" s="108" t="s">
        <v>24</v>
      </c>
      <c r="C14" s="106">
        <v>0</v>
      </c>
      <c r="D14" s="106">
        <v>0</v>
      </c>
      <c r="E14" s="114">
        <v>0</v>
      </c>
      <c r="I14">
        <v>1516</v>
      </c>
      <c r="J14" s="108" t="s">
        <v>24</v>
      </c>
      <c r="K14" s="23">
        <v>0</v>
      </c>
      <c r="L14" s="23">
        <v>0</v>
      </c>
      <c r="M14" s="23">
        <v>0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1:39">
      <c r="A15">
        <v>1580</v>
      </c>
      <c r="B15" s="108" t="s">
        <v>553</v>
      </c>
      <c r="C15" s="106">
        <v>-200000</v>
      </c>
      <c r="D15" s="106">
        <v>0</v>
      </c>
      <c r="E15" s="114">
        <v>-200000</v>
      </c>
      <c r="I15">
        <v>1580</v>
      </c>
      <c r="J15" s="108" t="s">
        <v>553</v>
      </c>
      <c r="K15" s="23">
        <v>-200000</v>
      </c>
      <c r="L15" s="23">
        <v>0</v>
      </c>
      <c r="M15" s="32">
        <v>-85568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39">
      <c r="A16">
        <v>1520</v>
      </c>
      <c r="B16" s="108" t="s">
        <v>26</v>
      </c>
      <c r="C16" s="106">
        <v>195225.22</v>
      </c>
      <c r="D16" s="106">
        <v>0</v>
      </c>
      <c r="E16" s="114">
        <v>195225.22</v>
      </c>
      <c r="I16">
        <v>1520</v>
      </c>
      <c r="J16" s="108" t="s">
        <v>26</v>
      </c>
      <c r="K16" s="23">
        <v>195225.22</v>
      </c>
      <c r="L16" s="23">
        <v>0</v>
      </c>
      <c r="M16" s="30">
        <v>0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39">
      <c r="A17">
        <v>1530</v>
      </c>
      <c r="B17" s="108" t="s">
        <v>554</v>
      </c>
      <c r="C17" s="106">
        <v>0</v>
      </c>
      <c r="D17" s="106">
        <v>39400</v>
      </c>
      <c r="E17" s="114">
        <v>39400</v>
      </c>
      <c r="I17">
        <v>1530</v>
      </c>
      <c r="J17" s="108" t="s">
        <v>554</v>
      </c>
      <c r="K17" s="23">
        <v>39400</v>
      </c>
      <c r="L17" s="23">
        <v>-39400</v>
      </c>
      <c r="M17" s="30">
        <v>0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39">
      <c r="A18">
        <v>1540</v>
      </c>
      <c r="B18" s="108" t="s">
        <v>555</v>
      </c>
      <c r="C18" s="106">
        <v>0</v>
      </c>
      <c r="D18" s="106">
        <v>20585</v>
      </c>
      <c r="E18" s="114">
        <v>20585</v>
      </c>
      <c r="I18">
        <v>1540</v>
      </c>
      <c r="J18" s="108" t="s">
        <v>555</v>
      </c>
      <c r="K18" s="23">
        <v>20585</v>
      </c>
      <c r="L18" s="23">
        <v>-20585</v>
      </c>
      <c r="M18" s="30">
        <v>0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>
      <c r="A19">
        <v>1571</v>
      </c>
      <c r="B19" s="108" t="s">
        <v>691</v>
      </c>
      <c r="E19" s="114"/>
      <c r="I19">
        <v>1571</v>
      </c>
      <c r="J19" s="108" t="s">
        <v>691</v>
      </c>
      <c r="K19" s="23">
        <v>0</v>
      </c>
      <c r="L19" s="23">
        <v>12443.86</v>
      </c>
      <c r="M19" s="30">
        <v>12443.86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>
      <c r="A20">
        <v>1700</v>
      </c>
      <c r="B20" s="108" t="s">
        <v>32</v>
      </c>
      <c r="C20" s="106">
        <v>6000</v>
      </c>
      <c r="D20" s="106">
        <v>0</v>
      </c>
      <c r="E20" s="114">
        <v>6000</v>
      </c>
      <c r="I20">
        <v>1700</v>
      </c>
      <c r="J20" s="108" t="s">
        <v>32</v>
      </c>
      <c r="K20" s="23">
        <v>6000</v>
      </c>
      <c r="L20" s="23">
        <v>0</v>
      </c>
      <c r="M20" s="30">
        <v>6000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>
      <c r="A21">
        <v>1720</v>
      </c>
      <c r="B21" s="108" t="s">
        <v>692</v>
      </c>
      <c r="E21" s="114"/>
      <c r="I21">
        <v>1720</v>
      </c>
      <c r="J21" s="108" t="s">
        <v>692</v>
      </c>
      <c r="K21" s="23">
        <v>0</v>
      </c>
      <c r="L21" s="23">
        <v>13450</v>
      </c>
      <c r="M21" s="30">
        <v>13450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>
      <c r="A22">
        <v>1749</v>
      </c>
      <c r="B22" s="108" t="s">
        <v>556</v>
      </c>
      <c r="C22" s="106">
        <v>0</v>
      </c>
      <c r="D22" s="106">
        <v>1913.75</v>
      </c>
      <c r="E22" s="114">
        <v>1913.75</v>
      </c>
      <c r="F22" s="115">
        <f>SUM(E15:E22)</f>
        <v>63123.97</v>
      </c>
      <c r="I22">
        <v>1749</v>
      </c>
      <c r="J22" s="108" t="s">
        <v>556</v>
      </c>
      <c r="K22" s="23">
        <v>1913.75</v>
      </c>
      <c r="L22" s="23">
        <v>94013.25</v>
      </c>
      <c r="M22" s="30">
        <v>95927</v>
      </c>
      <c r="N22" s="30">
        <f>SUM(M16:M22)</f>
        <v>127820.86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>
      <c r="A23">
        <v>1880</v>
      </c>
      <c r="B23" s="108" t="s">
        <v>34</v>
      </c>
      <c r="C23" s="106">
        <v>287024.28999999998</v>
      </c>
      <c r="D23" s="106">
        <v>-287024.28999999998</v>
      </c>
      <c r="E23" s="106">
        <v>0</v>
      </c>
      <c r="I23">
        <v>1880</v>
      </c>
      <c r="J23" s="108" t="s">
        <v>34</v>
      </c>
      <c r="K23" s="23">
        <v>0</v>
      </c>
      <c r="L23" s="23">
        <v>0</v>
      </c>
      <c r="M23" s="23">
        <v>0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>
      <c r="A24">
        <v>1910</v>
      </c>
      <c r="B24" s="108" t="s">
        <v>36</v>
      </c>
      <c r="C24" s="106">
        <v>9488</v>
      </c>
      <c r="D24" s="106">
        <v>0</v>
      </c>
      <c r="E24" s="106">
        <v>9488</v>
      </c>
      <c r="I24">
        <v>1910</v>
      </c>
      <c r="J24" s="108" t="s">
        <v>36</v>
      </c>
      <c r="K24" s="23">
        <v>9488</v>
      </c>
      <c r="L24" s="23">
        <v>13826</v>
      </c>
      <c r="M24" s="23">
        <v>16259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>
      <c r="A25">
        <v>1920</v>
      </c>
      <c r="B25" s="108" t="s">
        <v>557</v>
      </c>
      <c r="C25" s="106">
        <v>0</v>
      </c>
      <c r="D25" s="106">
        <v>246717.2</v>
      </c>
      <c r="E25" s="106">
        <v>246717.2</v>
      </c>
      <c r="I25">
        <v>1920</v>
      </c>
      <c r="J25" s="108" t="s">
        <v>557</v>
      </c>
      <c r="K25" s="23">
        <v>246717.2</v>
      </c>
      <c r="L25" s="23">
        <v>266475.61</v>
      </c>
      <c r="M25" s="23">
        <v>513192.81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>
      <c r="A26">
        <v>1921</v>
      </c>
      <c r="B26" s="108" t="s">
        <v>693</v>
      </c>
      <c r="I26">
        <v>1921</v>
      </c>
      <c r="J26" s="108" t="s">
        <v>693</v>
      </c>
      <c r="K26" s="23">
        <v>0</v>
      </c>
      <c r="L26" s="23">
        <v>5157.6899999999996</v>
      </c>
      <c r="M26" s="23">
        <v>5157.6899999999996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>
      <c r="A27">
        <v>1930</v>
      </c>
      <c r="B27" s="108" t="s">
        <v>558</v>
      </c>
      <c r="C27" s="106">
        <v>286810.53999999998</v>
      </c>
      <c r="D27" s="106">
        <v>-2770.44</v>
      </c>
      <c r="E27" s="106">
        <v>284040.09999999998</v>
      </c>
      <c r="I27">
        <v>1930</v>
      </c>
      <c r="J27" s="108" t="s">
        <v>558</v>
      </c>
      <c r="K27" s="23">
        <v>284040.09999999998</v>
      </c>
      <c r="L27" s="23">
        <v>-32143.09</v>
      </c>
      <c r="M27" s="23">
        <v>251897.01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>
      <c r="A28">
        <v>1931</v>
      </c>
      <c r="B28" s="108" t="s">
        <v>559</v>
      </c>
      <c r="C28" s="106">
        <v>38093.26</v>
      </c>
      <c r="D28" s="106">
        <v>-37994.9</v>
      </c>
      <c r="E28" s="106">
        <v>98.36</v>
      </c>
      <c r="G28" s="200" t="s">
        <v>785</v>
      </c>
      <c r="I28">
        <v>1931</v>
      </c>
      <c r="J28" s="108" t="s">
        <v>559</v>
      </c>
      <c r="K28" s="23">
        <v>98.36</v>
      </c>
      <c r="L28" s="23">
        <v>5329.04</v>
      </c>
      <c r="M28" s="23">
        <v>5427.4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>
      <c r="A29">
        <v>1936</v>
      </c>
      <c r="B29" s="108" t="s">
        <v>560</v>
      </c>
      <c r="C29" s="106">
        <v>44158.92</v>
      </c>
      <c r="D29" s="106">
        <v>776.72</v>
      </c>
      <c r="E29" s="106">
        <v>44935.64</v>
      </c>
      <c r="I29">
        <v>1936</v>
      </c>
      <c r="J29" s="108" t="s">
        <v>560</v>
      </c>
      <c r="K29" s="23">
        <v>44935.64</v>
      </c>
      <c r="L29" s="23">
        <v>641.89</v>
      </c>
      <c r="M29" s="23">
        <v>45577.53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>
      <c r="A30">
        <v>1938</v>
      </c>
      <c r="B30" s="108" t="s">
        <v>44</v>
      </c>
      <c r="C30" s="106">
        <v>3758.75</v>
      </c>
      <c r="D30" s="106">
        <v>3.77</v>
      </c>
      <c r="E30" s="106">
        <v>3762.52</v>
      </c>
      <c r="I30">
        <v>1938</v>
      </c>
      <c r="J30" s="108" t="s">
        <v>44</v>
      </c>
      <c r="K30" s="23">
        <v>3762.52</v>
      </c>
      <c r="L30" s="23">
        <v>3.77</v>
      </c>
      <c r="M30" s="23">
        <v>3766.29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>
      <c r="A31">
        <v>1940</v>
      </c>
      <c r="B31" s="108" t="s">
        <v>561</v>
      </c>
      <c r="C31" s="106">
        <v>110703.06</v>
      </c>
      <c r="D31" s="106">
        <v>-13927.12</v>
      </c>
      <c r="E31" s="106">
        <v>96775.94</v>
      </c>
      <c r="I31">
        <v>1940</v>
      </c>
      <c r="J31" s="108" t="s">
        <v>561</v>
      </c>
      <c r="K31" s="23">
        <v>96775.94</v>
      </c>
      <c r="L31" s="23">
        <v>-96479.02</v>
      </c>
      <c r="M31" s="23">
        <v>296.92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>
      <c r="A32">
        <v>1945</v>
      </c>
      <c r="B32" s="108" t="s">
        <v>48</v>
      </c>
      <c r="C32" s="106">
        <v>6238.47</v>
      </c>
      <c r="D32" s="106">
        <v>6.24</v>
      </c>
      <c r="E32" s="106">
        <v>6244.71</v>
      </c>
      <c r="I32">
        <v>1945</v>
      </c>
      <c r="J32" s="108" t="s">
        <v>48</v>
      </c>
      <c r="K32" s="23">
        <v>6244.71</v>
      </c>
      <c r="L32" s="23">
        <v>6.23</v>
      </c>
      <c r="M32" s="23">
        <v>6250.94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39">
      <c r="A33">
        <v>1946</v>
      </c>
      <c r="B33" s="108" t="s">
        <v>50</v>
      </c>
      <c r="C33" s="106">
        <v>1344685.58</v>
      </c>
      <c r="D33" s="106">
        <v>-461351.15</v>
      </c>
      <c r="E33" s="106">
        <v>883334.43</v>
      </c>
      <c r="I33">
        <v>1946</v>
      </c>
      <c r="J33" s="108" t="s">
        <v>50</v>
      </c>
      <c r="K33" s="23">
        <v>883334.43</v>
      </c>
      <c r="L33" s="23">
        <v>-500616.33</v>
      </c>
      <c r="M33" s="23">
        <v>382718.1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1:39">
      <c r="A34">
        <v>1950</v>
      </c>
      <c r="B34" s="108" t="s">
        <v>562</v>
      </c>
      <c r="C34" s="106">
        <v>0</v>
      </c>
      <c r="D34" s="106">
        <v>15658</v>
      </c>
      <c r="E34" s="106">
        <v>15658</v>
      </c>
      <c r="I34">
        <v>1950</v>
      </c>
      <c r="J34" s="108" t="s">
        <v>562</v>
      </c>
      <c r="K34" s="23">
        <v>15658</v>
      </c>
      <c r="L34" s="23">
        <v>3159</v>
      </c>
      <c r="M34" s="23">
        <v>18817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</row>
    <row r="35" spans="1:39">
      <c r="A35">
        <v>1952</v>
      </c>
      <c r="B35" s="108" t="s">
        <v>563</v>
      </c>
      <c r="C35" s="106">
        <v>61491.79</v>
      </c>
      <c r="D35" s="106">
        <v>111073.36</v>
      </c>
      <c r="E35" s="106">
        <v>172565.15</v>
      </c>
      <c r="I35">
        <v>1952</v>
      </c>
      <c r="J35" s="108" t="s">
        <v>563</v>
      </c>
      <c r="K35" s="23">
        <v>172565.15</v>
      </c>
      <c r="L35" s="23">
        <v>44188.63</v>
      </c>
      <c r="M35" s="23">
        <v>216753.78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</row>
    <row r="36" spans="1:39">
      <c r="A36">
        <v>1962</v>
      </c>
      <c r="B36" s="108" t="s">
        <v>564</v>
      </c>
      <c r="C36" s="106">
        <v>106659.66</v>
      </c>
      <c r="D36" s="106">
        <v>1876.05</v>
      </c>
      <c r="E36" s="106">
        <v>108535.71</v>
      </c>
      <c r="F36" s="109">
        <f>SUM(E24:E36)</f>
        <v>1872155.7599999998</v>
      </c>
      <c r="G36" s="109">
        <f>SUM(F12:F36)</f>
        <v>2127294.23</v>
      </c>
      <c r="H36" s="109">
        <f>SUM(G11:G36)</f>
        <v>3608635.4400000004</v>
      </c>
      <c r="I36">
        <v>1962</v>
      </c>
      <c r="J36" s="108" t="s">
        <v>564</v>
      </c>
      <c r="K36" s="23">
        <v>108535.71</v>
      </c>
      <c r="L36" s="23">
        <v>1550.44</v>
      </c>
      <c r="M36" s="23">
        <v>110086.15</v>
      </c>
      <c r="N36" s="23">
        <f>SUM(M24:M36)</f>
        <v>1576200.6199999999</v>
      </c>
      <c r="O36" s="23">
        <f>SUM(N12:N36)</f>
        <v>1838078.48</v>
      </c>
      <c r="P36" s="23">
        <f>SUM(O11:O36)</f>
        <v>3401678.2800000003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</row>
    <row r="37" spans="1:39">
      <c r="A37">
        <v>0</v>
      </c>
      <c r="B37" s="108" t="s">
        <v>565</v>
      </c>
      <c r="C37" s="106">
        <f>SUM(C3:C36)</f>
        <v>4177585.7900000005</v>
      </c>
      <c r="D37" s="106">
        <v>-568950.35</v>
      </c>
      <c r="E37" s="106">
        <f>SUM(E3:E36)</f>
        <v>3608635.44</v>
      </c>
      <c r="J37" s="108"/>
      <c r="K37" s="23"/>
      <c r="L37" s="23"/>
      <c r="M37" s="23">
        <f>SUM(M3:M36)</f>
        <v>3401678.2799999993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</row>
    <row r="38" spans="1:39">
      <c r="A38">
        <v>0</v>
      </c>
      <c r="B38" s="108"/>
      <c r="C38" s="106">
        <v>0</v>
      </c>
      <c r="D38" s="106">
        <v>0</v>
      </c>
      <c r="E38" s="106">
        <v>0</v>
      </c>
      <c r="J38" s="108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39">
      <c r="A39">
        <v>2001</v>
      </c>
      <c r="B39" s="108" t="s">
        <v>566</v>
      </c>
      <c r="C39" s="23">
        <v>-12195.1</v>
      </c>
      <c r="D39" s="106">
        <v>0</v>
      </c>
      <c r="E39" s="106">
        <f>C39</f>
        <v>-12195.1</v>
      </c>
      <c r="I39">
        <v>2001</v>
      </c>
      <c r="J39" s="108" t="s">
        <v>566</v>
      </c>
      <c r="K39" s="23">
        <v>-20729.099999999999</v>
      </c>
      <c r="L39" s="23">
        <v>0</v>
      </c>
      <c r="M39" s="23">
        <v>-20729.099999999999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>
      <c r="A40">
        <v>2002</v>
      </c>
      <c r="B40" s="108" t="s">
        <v>58</v>
      </c>
      <c r="C40" s="23">
        <v>18900.36</v>
      </c>
      <c r="D40" s="106">
        <v>0</v>
      </c>
      <c r="E40" s="106">
        <f t="shared" ref="E40:E79" si="0">C40</f>
        <v>18900.36</v>
      </c>
      <c r="I40">
        <v>2002</v>
      </c>
      <c r="J40" s="108" t="s">
        <v>58</v>
      </c>
      <c r="K40" s="23">
        <v>23755.360000000001</v>
      </c>
      <c r="L40" s="23">
        <v>0</v>
      </c>
      <c r="M40" s="23">
        <v>23755.360000000001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</row>
    <row r="41" spans="1:39">
      <c r="A41">
        <v>2003</v>
      </c>
      <c r="B41" s="108" t="s">
        <v>60</v>
      </c>
      <c r="C41" s="23">
        <v>-7121.34</v>
      </c>
      <c r="D41" s="106">
        <v>0</v>
      </c>
      <c r="E41" s="106">
        <f t="shared" si="0"/>
        <v>-7121.34</v>
      </c>
      <c r="I41">
        <v>2003</v>
      </c>
      <c r="J41" s="108" t="s">
        <v>60</v>
      </c>
      <c r="K41" s="23">
        <v>-16881.82</v>
      </c>
      <c r="L41" s="23">
        <v>0</v>
      </c>
      <c r="M41" s="23">
        <v>-16881.82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spans="1:39">
      <c r="A42">
        <v>2004</v>
      </c>
      <c r="B42" s="108" t="s">
        <v>62</v>
      </c>
      <c r="C42" s="23">
        <v>-22991.99</v>
      </c>
      <c r="D42" s="106">
        <v>0</v>
      </c>
      <c r="E42" s="106">
        <f t="shared" si="0"/>
        <v>-22991.99</v>
      </c>
      <c r="I42">
        <v>2004</v>
      </c>
      <c r="J42" s="108" t="s">
        <v>62</v>
      </c>
      <c r="K42" s="23">
        <v>-40292.99</v>
      </c>
      <c r="L42" s="23">
        <v>0</v>
      </c>
      <c r="M42" s="23">
        <v>-40292.99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spans="1:39">
      <c r="A43">
        <v>2005</v>
      </c>
      <c r="B43" s="108" t="s">
        <v>64</v>
      </c>
      <c r="C43" s="23">
        <v>9720.8700000000008</v>
      </c>
      <c r="D43" s="106">
        <v>0</v>
      </c>
      <c r="E43" s="106">
        <f t="shared" si="0"/>
        <v>9720.8700000000008</v>
      </c>
      <c r="I43">
        <v>2005</v>
      </c>
      <c r="J43" s="108" t="s">
        <v>64</v>
      </c>
      <c r="K43" s="23">
        <v>18095.27</v>
      </c>
      <c r="L43" s="23">
        <v>0</v>
      </c>
      <c r="M43" s="23">
        <v>18095.27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</row>
    <row r="44" spans="1:39">
      <c r="A44">
        <v>2006</v>
      </c>
      <c r="B44" s="108" t="s">
        <v>66</v>
      </c>
      <c r="C44" s="23">
        <v>2973.72</v>
      </c>
      <c r="D44" s="106">
        <v>0</v>
      </c>
      <c r="E44" s="106">
        <f t="shared" si="0"/>
        <v>2973.72</v>
      </c>
      <c r="I44">
        <v>2006</v>
      </c>
      <c r="J44" s="108" t="s">
        <v>66</v>
      </c>
      <c r="K44" s="23">
        <v>-4990.8900000000003</v>
      </c>
      <c r="L44" s="23">
        <v>0</v>
      </c>
      <c r="M44" s="23">
        <v>-4990.8900000000003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</row>
    <row r="45" spans="1:39">
      <c r="A45">
        <v>2007</v>
      </c>
      <c r="B45" s="108" t="s">
        <v>68</v>
      </c>
      <c r="C45" s="23">
        <v>-26184.1</v>
      </c>
      <c r="D45" s="106">
        <v>0</v>
      </c>
      <c r="E45" s="106">
        <f t="shared" si="0"/>
        <v>-26184.1</v>
      </c>
      <c r="I45">
        <v>2007</v>
      </c>
      <c r="J45" s="108" t="s">
        <v>68</v>
      </c>
      <c r="K45" s="23">
        <v>-32661.9</v>
      </c>
      <c r="L45" s="23">
        <v>0</v>
      </c>
      <c r="M45" s="23">
        <v>-32661.9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>
      <c r="A46">
        <v>2008</v>
      </c>
      <c r="B46" s="108" t="s">
        <v>70</v>
      </c>
      <c r="C46" s="23">
        <v>43538.11</v>
      </c>
      <c r="D46" s="106">
        <v>0</v>
      </c>
      <c r="E46" s="106">
        <f t="shared" si="0"/>
        <v>43538.11</v>
      </c>
      <c r="I46">
        <v>2008</v>
      </c>
      <c r="J46" s="108" t="s">
        <v>70</v>
      </c>
      <c r="K46" s="23">
        <v>43398.95</v>
      </c>
      <c r="L46" s="23">
        <v>0</v>
      </c>
      <c r="M46" s="23">
        <v>43398.95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spans="1:39">
      <c r="A47">
        <v>2009</v>
      </c>
      <c r="B47" s="108" t="s">
        <v>567</v>
      </c>
      <c r="C47" s="23">
        <v>13188.8</v>
      </c>
      <c r="D47" s="106">
        <v>0</v>
      </c>
      <c r="E47" s="106">
        <f t="shared" si="0"/>
        <v>13188.8</v>
      </c>
      <c r="I47">
        <v>2009</v>
      </c>
      <c r="J47" s="108" t="s">
        <v>567</v>
      </c>
      <c r="K47" s="23">
        <v>-63925.599999999999</v>
      </c>
      <c r="L47" s="23">
        <v>0</v>
      </c>
      <c r="M47" s="23">
        <v>-63925.599999999999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</row>
    <row r="48" spans="1:39">
      <c r="A48">
        <v>2010</v>
      </c>
      <c r="B48" s="108" t="s">
        <v>74</v>
      </c>
      <c r="C48" s="23">
        <v>53498.51</v>
      </c>
      <c r="D48" s="106">
        <v>0</v>
      </c>
      <c r="E48" s="106">
        <f t="shared" si="0"/>
        <v>53498.51</v>
      </c>
      <c r="I48">
        <v>2010</v>
      </c>
      <c r="J48" s="108" t="s">
        <v>74</v>
      </c>
      <c r="K48" s="23">
        <v>27398.400000000001</v>
      </c>
      <c r="L48" s="23">
        <v>0</v>
      </c>
      <c r="M48" s="23">
        <v>27398.400000000001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</row>
    <row r="49" spans="1:39">
      <c r="A49">
        <v>2011</v>
      </c>
      <c r="B49" s="108" t="s">
        <v>76</v>
      </c>
      <c r="C49" s="23">
        <v>-3808.9</v>
      </c>
      <c r="D49" s="106">
        <v>0</v>
      </c>
      <c r="E49" s="106">
        <f t="shared" si="0"/>
        <v>-3808.9</v>
      </c>
      <c r="I49">
        <v>2011</v>
      </c>
      <c r="J49" s="108" t="s">
        <v>76</v>
      </c>
      <c r="K49" s="23">
        <v>-6083.9</v>
      </c>
      <c r="L49" s="23">
        <v>0</v>
      </c>
      <c r="M49" s="23">
        <v>-6083.9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</row>
    <row r="50" spans="1:39">
      <c r="A50">
        <v>2012</v>
      </c>
      <c r="B50" s="108" t="s">
        <v>78</v>
      </c>
      <c r="C50" s="23">
        <v>44046.9</v>
      </c>
      <c r="D50" s="106">
        <v>0</v>
      </c>
      <c r="E50" s="106">
        <f t="shared" si="0"/>
        <v>44046.9</v>
      </c>
      <c r="I50">
        <v>2012</v>
      </c>
      <c r="J50" s="108" t="s">
        <v>78</v>
      </c>
      <c r="K50" s="23">
        <v>136830.25</v>
      </c>
      <c r="L50" s="23">
        <v>-32081.25</v>
      </c>
      <c r="M50" s="23">
        <v>104749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</row>
    <row r="51" spans="1:39">
      <c r="A51">
        <v>2013</v>
      </c>
      <c r="B51" s="108" t="s">
        <v>80</v>
      </c>
      <c r="C51" s="23">
        <v>52126.76</v>
      </c>
      <c r="D51" s="106">
        <v>0</v>
      </c>
      <c r="E51" s="106">
        <f t="shared" si="0"/>
        <v>52126.76</v>
      </c>
      <c r="I51">
        <v>2013</v>
      </c>
      <c r="J51" s="108" t="s">
        <v>80</v>
      </c>
      <c r="K51" s="23">
        <v>122109.75999999999</v>
      </c>
      <c r="L51" s="23">
        <v>0</v>
      </c>
      <c r="M51" s="23">
        <v>122109.75999999999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spans="1:39">
      <c r="A52">
        <v>2014</v>
      </c>
      <c r="B52" s="108" t="s">
        <v>82</v>
      </c>
      <c r="C52" s="23">
        <v>-9197.25</v>
      </c>
      <c r="D52" s="106">
        <v>0</v>
      </c>
      <c r="E52" s="106">
        <f t="shared" si="0"/>
        <v>-9197.25</v>
      </c>
      <c r="I52">
        <v>2014</v>
      </c>
      <c r="J52" s="108" t="s">
        <v>82</v>
      </c>
      <c r="K52" s="23">
        <v>-9419.65</v>
      </c>
      <c r="L52" s="23">
        <v>0</v>
      </c>
      <c r="M52" s="23">
        <v>-9419.65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:39">
      <c r="A53">
        <v>2015</v>
      </c>
      <c r="B53" s="108" t="s">
        <v>84</v>
      </c>
      <c r="C53" s="23">
        <v>2751.55</v>
      </c>
      <c r="D53" s="106">
        <v>0</v>
      </c>
      <c r="E53" s="106">
        <f t="shared" si="0"/>
        <v>2751.55</v>
      </c>
      <c r="I53">
        <v>2015</v>
      </c>
      <c r="J53" s="108" t="s">
        <v>84</v>
      </c>
      <c r="K53" s="23">
        <v>11912.34</v>
      </c>
      <c r="L53" s="23">
        <v>0</v>
      </c>
      <c r="M53" s="23">
        <v>11912.34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</row>
    <row r="54" spans="1:39">
      <c r="A54">
        <v>2016</v>
      </c>
      <c r="B54" s="108" t="s">
        <v>86</v>
      </c>
      <c r="C54" s="23">
        <v>3522.26</v>
      </c>
      <c r="D54" s="106">
        <v>0</v>
      </c>
      <c r="E54" s="106">
        <f t="shared" si="0"/>
        <v>3522.26</v>
      </c>
      <c r="I54">
        <v>2016</v>
      </c>
      <c r="J54" s="108" t="s">
        <v>86</v>
      </c>
      <c r="K54" s="23">
        <v>-28072.51</v>
      </c>
      <c r="L54" s="23">
        <v>0</v>
      </c>
      <c r="M54" s="23">
        <v>-28072.51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spans="1:39">
      <c r="A55">
        <v>2017</v>
      </c>
      <c r="B55" s="108" t="s">
        <v>88</v>
      </c>
      <c r="C55" s="23">
        <v>46559.9</v>
      </c>
      <c r="D55" s="106">
        <v>0</v>
      </c>
      <c r="E55" s="106">
        <f t="shared" si="0"/>
        <v>46559.9</v>
      </c>
      <c r="I55">
        <v>2017</v>
      </c>
      <c r="J55" s="108" t="s">
        <v>88</v>
      </c>
      <c r="K55" s="23">
        <v>44149.94</v>
      </c>
      <c r="L55" s="23">
        <v>0</v>
      </c>
      <c r="M55" s="23">
        <v>44149.94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</row>
    <row r="56" spans="1:39">
      <c r="A56">
        <v>2018</v>
      </c>
      <c r="B56" s="108" t="s">
        <v>90</v>
      </c>
      <c r="C56" s="23">
        <v>-5139.18</v>
      </c>
      <c r="D56" s="106">
        <v>0</v>
      </c>
      <c r="E56" s="106">
        <f t="shared" si="0"/>
        <v>-5139.18</v>
      </c>
      <c r="I56">
        <v>2018</v>
      </c>
      <c r="J56" s="108" t="s">
        <v>90</v>
      </c>
      <c r="K56" s="23">
        <v>5587.92</v>
      </c>
      <c r="L56" s="23">
        <v>0</v>
      </c>
      <c r="M56" s="23">
        <v>5587.92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</row>
    <row r="57" spans="1:39">
      <c r="A57">
        <v>2019</v>
      </c>
      <c r="B57" s="108" t="s">
        <v>568</v>
      </c>
      <c r="C57" s="23">
        <v>22345.68</v>
      </c>
      <c r="D57" s="106">
        <v>0</v>
      </c>
      <c r="E57" s="106">
        <f t="shared" si="0"/>
        <v>22345.68</v>
      </c>
      <c r="I57">
        <v>2019</v>
      </c>
      <c r="J57" s="108" t="s">
        <v>568</v>
      </c>
      <c r="K57" s="23">
        <v>19524.919999999998</v>
      </c>
      <c r="L57" s="23">
        <v>0</v>
      </c>
      <c r="M57" s="23">
        <v>19524.919999999998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:39">
      <c r="A58">
        <v>2020</v>
      </c>
      <c r="B58" s="108" t="s">
        <v>94</v>
      </c>
      <c r="C58" s="23">
        <v>-21962.82</v>
      </c>
      <c r="D58" s="106">
        <v>0</v>
      </c>
      <c r="E58" s="106">
        <f t="shared" si="0"/>
        <v>-21962.82</v>
      </c>
      <c r="I58">
        <v>2020</v>
      </c>
      <c r="J58" s="108" t="s">
        <v>94</v>
      </c>
      <c r="K58" s="23">
        <v>-27969.06</v>
      </c>
      <c r="L58" s="23">
        <v>0</v>
      </c>
      <c r="M58" s="23">
        <v>-27969.06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:39">
      <c r="A59">
        <v>2024</v>
      </c>
      <c r="B59" s="108" t="s">
        <v>96</v>
      </c>
      <c r="C59" s="23">
        <v>-83730.98</v>
      </c>
      <c r="D59" s="106">
        <v>0</v>
      </c>
      <c r="E59" s="106">
        <f t="shared" si="0"/>
        <v>-83730.98</v>
      </c>
      <c r="I59">
        <v>2024</v>
      </c>
      <c r="J59" s="108" t="s">
        <v>96</v>
      </c>
      <c r="K59" s="23">
        <v>-27201.53</v>
      </c>
      <c r="L59" s="23">
        <v>18720</v>
      </c>
      <c r="M59" s="23">
        <v>-8481.5300000000007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spans="1:39">
      <c r="A60">
        <v>2025</v>
      </c>
      <c r="B60" s="108" t="s">
        <v>98</v>
      </c>
      <c r="C60" s="23">
        <v>-1021.61</v>
      </c>
      <c r="D60" s="106">
        <v>0</v>
      </c>
      <c r="E60" s="106">
        <f t="shared" si="0"/>
        <v>-1021.61</v>
      </c>
      <c r="I60">
        <v>2025</v>
      </c>
      <c r="J60" s="108" t="s">
        <v>98</v>
      </c>
      <c r="K60" s="23">
        <v>-1021.61</v>
      </c>
      <c r="L60" s="23">
        <v>0</v>
      </c>
      <c r="M60" s="23">
        <v>-1021.61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spans="1:39">
      <c r="A61">
        <v>2026</v>
      </c>
      <c r="B61" s="108" t="s">
        <v>100</v>
      </c>
      <c r="C61" s="23">
        <v>-13919.65</v>
      </c>
      <c r="D61" s="106">
        <v>0</v>
      </c>
      <c r="E61" s="106">
        <f t="shared" si="0"/>
        <v>-13919.65</v>
      </c>
      <c r="I61">
        <v>2026</v>
      </c>
      <c r="J61" s="108" t="s">
        <v>100</v>
      </c>
      <c r="K61" s="23">
        <v>-13919.65</v>
      </c>
      <c r="L61" s="23">
        <v>0</v>
      </c>
      <c r="M61" s="23">
        <v>-13919.65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spans="1:39">
      <c r="A62">
        <v>2027</v>
      </c>
      <c r="B62" s="108" t="s">
        <v>102</v>
      </c>
      <c r="C62" s="23">
        <v>3403.3900000000003</v>
      </c>
      <c r="D62" s="106">
        <v>0</v>
      </c>
      <c r="E62" s="106">
        <f t="shared" si="0"/>
        <v>3403.3900000000003</v>
      </c>
      <c r="I62">
        <v>2027</v>
      </c>
      <c r="J62" s="108" t="s">
        <v>102</v>
      </c>
      <c r="K62" s="23">
        <v>2803.39</v>
      </c>
      <c r="L62" s="23">
        <v>0</v>
      </c>
      <c r="M62" s="23">
        <v>2803.39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1:39">
      <c r="A63">
        <v>2028</v>
      </c>
      <c r="B63" s="108" t="s">
        <v>569</v>
      </c>
      <c r="C63" s="23">
        <v>-22952.77</v>
      </c>
      <c r="D63" s="106">
        <v>0</v>
      </c>
      <c r="E63" s="106">
        <f t="shared" si="0"/>
        <v>-22952.77</v>
      </c>
      <c r="I63">
        <v>2028</v>
      </c>
      <c r="J63" s="108" t="s">
        <v>569</v>
      </c>
      <c r="K63" s="23">
        <v>-12292.03</v>
      </c>
      <c r="L63" s="23">
        <v>0</v>
      </c>
      <c r="M63" s="23">
        <v>-12292.03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spans="1:39">
      <c r="A64">
        <v>2029</v>
      </c>
      <c r="B64" s="108" t="s">
        <v>106</v>
      </c>
      <c r="C64" s="23">
        <v>12921.82</v>
      </c>
      <c r="D64" s="106">
        <v>0</v>
      </c>
      <c r="E64" s="106">
        <f t="shared" si="0"/>
        <v>12921.82</v>
      </c>
      <c r="I64">
        <v>2029</v>
      </c>
      <c r="J64" s="108" t="s">
        <v>106</v>
      </c>
      <c r="K64" s="23">
        <v>8073.43</v>
      </c>
      <c r="L64" s="23">
        <v>0</v>
      </c>
      <c r="M64" s="23">
        <v>8073.43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:39">
      <c r="A65">
        <v>2030</v>
      </c>
      <c r="B65" s="108" t="s">
        <v>108</v>
      </c>
      <c r="C65" s="23">
        <v>-27492.36</v>
      </c>
      <c r="D65" s="106">
        <v>0</v>
      </c>
      <c r="E65" s="106">
        <f t="shared" si="0"/>
        <v>-27492.36</v>
      </c>
      <c r="I65">
        <v>2030</v>
      </c>
      <c r="J65" s="108" t="s">
        <v>108</v>
      </c>
      <c r="K65" s="23">
        <v>-37346.86</v>
      </c>
      <c r="L65" s="23">
        <v>0</v>
      </c>
      <c r="M65" s="23">
        <v>-37346.86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spans="1:39">
      <c r="A66">
        <v>2031</v>
      </c>
      <c r="B66" s="108" t="s">
        <v>570</v>
      </c>
      <c r="C66" s="23">
        <v>-60420.29</v>
      </c>
      <c r="D66" s="106">
        <v>0</v>
      </c>
      <c r="E66" s="106">
        <f t="shared" si="0"/>
        <v>-60420.29</v>
      </c>
      <c r="I66">
        <v>2031</v>
      </c>
      <c r="J66" s="108" t="s">
        <v>570</v>
      </c>
      <c r="K66" s="23">
        <v>-49413.58</v>
      </c>
      <c r="L66" s="23">
        <v>0</v>
      </c>
      <c r="M66" s="23">
        <v>-49413.58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:39">
      <c r="A67">
        <v>2032</v>
      </c>
      <c r="B67" s="108" t="s">
        <v>112</v>
      </c>
      <c r="C67" s="23">
        <v>-1891.11</v>
      </c>
      <c r="D67" s="106">
        <v>0</v>
      </c>
      <c r="E67" s="106">
        <f t="shared" si="0"/>
        <v>-1891.11</v>
      </c>
      <c r="I67">
        <v>2032</v>
      </c>
      <c r="J67" s="108" t="s">
        <v>112</v>
      </c>
      <c r="K67" s="23">
        <v>4329.5200000000004</v>
      </c>
      <c r="L67" s="23">
        <v>0</v>
      </c>
      <c r="M67" s="23">
        <v>4329.5200000000004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:39">
      <c r="A68">
        <v>2034</v>
      </c>
      <c r="B68" s="108" t="s">
        <v>114</v>
      </c>
      <c r="C68" s="23">
        <v>-17641.11</v>
      </c>
      <c r="D68" s="106">
        <v>0</v>
      </c>
      <c r="E68" s="106">
        <f t="shared" si="0"/>
        <v>-17641.11</v>
      </c>
      <c r="I68">
        <v>2034</v>
      </c>
      <c r="J68" s="108" t="s">
        <v>114</v>
      </c>
      <c r="K68" s="23">
        <v>-21062.97</v>
      </c>
      <c r="L68" s="23">
        <v>0</v>
      </c>
      <c r="M68" s="23">
        <v>-21062.97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:39">
      <c r="A69">
        <v>2035</v>
      </c>
      <c r="B69" s="108" t="s">
        <v>116</v>
      </c>
      <c r="C69" s="23">
        <v>-11132.17</v>
      </c>
      <c r="D69" s="106">
        <v>0</v>
      </c>
      <c r="E69" s="106">
        <f t="shared" si="0"/>
        <v>-11132.17</v>
      </c>
      <c r="I69">
        <v>2035</v>
      </c>
      <c r="J69" s="108" t="s">
        <v>116</v>
      </c>
      <c r="K69" s="23">
        <v>-85564.91</v>
      </c>
      <c r="L69" s="23">
        <v>0</v>
      </c>
      <c r="M69" s="23">
        <v>-85564.91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:39">
      <c r="A70">
        <v>2036</v>
      </c>
      <c r="B70" s="108" t="s">
        <v>571</v>
      </c>
      <c r="C70" s="23">
        <v>-540</v>
      </c>
      <c r="D70" s="106">
        <v>0</v>
      </c>
      <c r="E70" s="106">
        <f t="shared" si="0"/>
        <v>-540</v>
      </c>
      <c r="I70">
        <v>2036</v>
      </c>
      <c r="J70" s="108" t="s">
        <v>571</v>
      </c>
      <c r="K70" s="23">
        <v>-732</v>
      </c>
      <c r="L70" s="23">
        <v>0</v>
      </c>
      <c r="M70" s="23">
        <v>-732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39">
      <c r="A71">
        <v>2037</v>
      </c>
      <c r="B71" s="108" t="s">
        <v>572</v>
      </c>
      <c r="C71" s="23">
        <v>-173990.74</v>
      </c>
      <c r="D71" s="106">
        <v>0</v>
      </c>
      <c r="E71" s="106">
        <f t="shared" si="0"/>
        <v>-173990.74</v>
      </c>
      <c r="I71">
        <v>2037</v>
      </c>
      <c r="J71" s="108" t="s">
        <v>572</v>
      </c>
      <c r="K71" s="23">
        <v>-236248.25</v>
      </c>
      <c r="L71" s="23">
        <v>0</v>
      </c>
      <c r="M71" s="23">
        <v>-236248.25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9">
      <c r="A72">
        <v>2038</v>
      </c>
      <c r="B72" s="108" t="s">
        <v>573</v>
      </c>
      <c r="C72" s="23">
        <v>-22756.240000000002</v>
      </c>
      <c r="D72" s="106">
        <v>0</v>
      </c>
      <c r="E72" s="106">
        <f t="shared" si="0"/>
        <v>-22756.240000000002</v>
      </c>
      <c r="I72">
        <v>2038</v>
      </c>
      <c r="J72" s="108" t="s">
        <v>573</v>
      </c>
      <c r="K72" s="23">
        <v>-17696.349999999999</v>
      </c>
      <c r="L72" s="23">
        <v>0</v>
      </c>
      <c r="M72" s="23">
        <v>-17696.349999999999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9">
      <c r="A73">
        <v>2040</v>
      </c>
      <c r="B73" s="108" t="s">
        <v>528</v>
      </c>
      <c r="C73" s="23">
        <v>-541013.30000000005</v>
      </c>
      <c r="D73" s="106">
        <v>0</v>
      </c>
      <c r="E73" s="106">
        <f>C73</f>
        <v>-541013.30000000005</v>
      </c>
      <c r="I73">
        <v>2040</v>
      </c>
      <c r="J73" s="108" t="s">
        <v>528</v>
      </c>
      <c r="K73" s="23">
        <v>-541013.30000000005</v>
      </c>
      <c r="L73" s="23">
        <v>0</v>
      </c>
      <c r="M73" s="23">
        <v>-541013.30000000005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1:39">
      <c r="A74">
        <v>2041</v>
      </c>
      <c r="B74" s="108" t="s">
        <v>126</v>
      </c>
      <c r="C74" s="23">
        <v>-96296.55</v>
      </c>
      <c r="D74" s="106">
        <v>0</v>
      </c>
      <c r="E74" s="106">
        <f>C74</f>
        <v>-96296.55</v>
      </c>
      <c r="F74" s="109">
        <f>SUM(E73:E74)</f>
        <v>-637309.85000000009</v>
      </c>
      <c r="G74" s="109">
        <f>SUM(F81:F81)</f>
        <v>-1781573.3200000012</v>
      </c>
      <c r="I74">
        <v>2041</v>
      </c>
      <c r="J74" s="108" t="s">
        <v>126</v>
      </c>
      <c r="K74" s="23">
        <v>-96296.55</v>
      </c>
      <c r="L74" s="23">
        <v>0</v>
      </c>
      <c r="M74" s="23">
        <v>-96296.55</v>
      </c>
      <c r="N74" s="23">
        <f>SUM(M73:M74)</f>
        <v>-637309.85000000009</v>
      </c>
      <c r="O74" s="23">
        <f>N74+N80</f>
        <v>-1274047.6300000024</v>
      </c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</row>
    <row r="75" spans="1:39">
      <c r="A75">
        <v>2045</v>
      </c>
      <c r="B75" s="108" t="s">
        <v>128</v>
      </c>
      <c r="C75" s="23">
        <v>79744.58</v>
      </c>
      <c r="D75" s="106">
        <v>0</v>
      </c>
      <c r="E75" s="106">
        <f t="shared" si="0"/>
        <v>79744.58</v>
      </c>
      <c r="I75">
        <v>2045</v>
      </c>
      <c r="J75" s="108" t="s">
        <v>128</v>
      </c>
      <c r="K75" s="23">
        <v>79744.58</v>
      </c>
      <c r="L75" s="23">
        <v>0</v>
      </c>
      <c r="M75" s="23">
        <v>79744.58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9">
      <c r="A76">
        <v>2050</v>
      </c>
      <c r="B76" s="108" t="s">
        <v>694</v>
      </c>
      <c r="C76" s="23"/>
      <c r="I76">
        <v>2050</v>
      </c>
      <c r="J76" s="108" t="s">
        <v>694</v>
      </c>
      <c r="K76" s="23">
        <v>-63882.63</v>
      </c>
      <c r="L76" s="23">
        <v>0</v>
      </c>
      <c r="M76" s="23">
        <v>-63882.63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9">
      <c r="A77">
        <v>2055</v>
      </c>
      <c r="B77" s="108" t="s">
        <v>574</v>
      </c>
      <c r="C77" s="23">
        <v>-355508.33</v>
      </c>
      <c r="D77" s="106">
        <v>0</v>
      </c>
      <c r="E77" s="106">
        <f t="shared" si="0"/>
        <v>-355508.33</v>
      </c>
      <c r="I77">
        <v>2055</v>
      </c>
      <c r="J77" s="108" t="s">
        <v>574</v>
      </c>
      <c r="K77" s="23">
        <v>102638.17</v>
      </c>
      <c r="L77" s="23">
        <v>13361.25</v>
      </c>
      <c r="M77" s="23">
        <v>115999.42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9">
      <c r="A78">
        <v>2070</v>
      </c>
      <c r="B78" s="108" t="s">
        <v>134</v>
      </c>
      <c r="C78" s="23">
        <v>-547211.75</v>
      </c>
      <c r="D78" s="106">
        <v>0</v>
      </c>
      <c r="E78" s="106">
        <f t="shared" si="0"/>
        <v>-547211.75</v>
      </c>
      <c r="I78">
        <v>2070</v>
      </c>
      <c r="J78" s="108" t="s">
        <v>134</v>
      </c>
      <c r="K78" s="23">
        <v>-598395.06000000006</v>
      </c>
      <c r="L78" s="23">
        <v>0</v>
      </c>
      <c r="M78" s="23">
        <v>-598395.06000000006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9">
      <c r="A79">
        <v>2080</v>
      </c>
      <c r="B79" s="108" t="s">
        <v>136</v>
      </c>
      <c r="C79" s="23">
        <v>-276063.81</v>
      </c>
      <c r="D79" s="106">
        <v>0</v>
      </c>
      <c r="E79" s="106">
        <f t="shared" si="0"/>
        <v>-276063.81</v>
      </c>
      <c r="F79" s="109">
        <f>SUM(E39:E72)+E75+E77+E78+E79+E81</f>
        <v>-1144263.4700000011</v>
      </c>
      <c r="I79">
        <v>2080</v>
      </c>
      <c r="J79" s="108" t="s">
        <v>136</v>
      </c>
      <c r="K79" s="23">
        <v>-379860.82</v>
      </c>
      <c r="L79" s="23">
        <v>0</v>
      </c>
      <c r="M79" s="23">
        <v>-379860.82</v>
      </c>
      <c r="N79" s="109"/>
      <c r="O79" s="23"/>
      <c r="P79" s="23"/>
      <c r="Q79" s="23">
        <f>P36+P95</f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9">
      <c r="A80">
        <v>2090</v>
      </c>
      <c r="B80" s="108" t="s">
        <v>695</v>
      </c>
      <c r="C80" s="23"/>
      <c r="F80" s="109"/>
      <c r="I80">
        <v>2090</v>
      </c>
      <c r="J80" s="108" t="s">
        <v>695</v>
      </c>
      <c r="K80" s="23">
        <v>1050</v>
      </c>
      <c r="L80" s="23">
        <v>0</v>
      </c>
      <c r="M80" s="23">
        <v>1050</v>
      </c>
      <c r="N80" s="23">
        <f>SUM(M39:M72)+M75+M76+M77+M78+M79+M80+M81</f>
        <v>-636737.78000000236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</row>
    <row r="81" spans="1:39">
      <c r="B81" s="108" t="s">
        <v>575</v>
      </c>
      <c r="E81" s="23">
        <f>H203</f>
        <v>171366.91999999899</v>
      </c>
      <c r="F81" s="109">
        <f>SUM(E39:E79)+E81</f>
        <v>-1781573.3200000012</v>
      </c>
      <c r="J81" s="108" t="s">
        <v>575</v>
      </c>
      <c r="K81" s="23"/>
      <c r="L81" s="23"/>
      <c r="M81" s="23">
        <f>P203</f>
        <v>507525.68999999762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</row>
    <row r="82" spans="1:39">
      <c r="A82">
        <v>2192</v>
      </c>
      <c r="B82" s="108" t="s">
        <v>138</v>
      </c>
      <c r="C82" s="106">
        <v>-7800</v>
      </c>
      <c r="D82" s="106">
        <v>0</v>
      </c>
      <c r="E82" s="117">
        <v>-7800</v>
      </c>
      <c r="I82">
        <v>2192</v>
      </c>
      <c r="J82" s="108" t="s">
        <v>138</v>
      </c>
      <c r="K82" s="23">
        <v>-7800</v>
      </c>
      <c r="L82" s="23">
        <v>0</v>
      </c>
      <c r="M82" s="37">
        <v>-7800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</row>
    <row r="83" spans="1:39">
      <c r="A83">
        <v>2240</v>
      </c>
      <c r="B83" s="108" t="s">
        <v>140</v>
      </c>
      <c r="C83" s="106">
        <v>-1000000</v>
      </c>
      <c r="D83" s="106">
        <v>0</v>
      </c>
      <c r="E83" s="112">
        <v>-1000000</v>
      </c>
      <c r="I83">
        <v>2240</v>
      </c>
      <c r="J83" s="108" t="s">
        <v>140</v>
      </c>
      <c r="K83" s="23">
        <v>-1000000</v>
      </c>
      <c r="L83" s="23">
        <v>0</v>
      </c>
      <c r="M83" s="32">
        <v>-1000000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1:39">
      <c r="A84">
        <v>2241</v>
      </c>
      <c r="B84" s="108" t="s">
        <v>142</v>
      </c>
      <c r="C84" s="106">
        <v>-277790</v>
      </c>
      <c r="D84" s="106">
        <v>0</v>
      </c>
      <c r="E84" s="112">
        <v>-277790</v>
      </c>
      <c r="F84" s="113">
        <f>SUM(E83:E84)+E87</f>
        <v>-1312790</v>
      </c>
      <c r="I84">
        <v>2241</v>
      </c>
      <c r="J84" s="108" t="s">
        <v>142</v>
      </c>
      <c r="K84" s="23">
        <v>-277790</v>
      </c>
      <c r="L84" s="23">
        <v>0</v>
      </c>
      <c r="M84" s="32">
        <v>-277790</v>
      </c>
      <c r="N84" s="32">
        <f>SUM(M83:M84)+M87</f>
        <v>-1312790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</row>
    <row r="85" spans="1:39">
      <c r="A85">
        <v>2400</v>
      </c>
      <c r="B85" s="108" t="s">
        <v>578</v>
      </c>
      <c r="C85" s="106">
        <v>-172704.91</v>
      </c>
      <c r="D85" s="106">
        <v>-94354.65</v>
      </c>
      <c r="E85" s="106">
        <v>-267059.56</v>
      </c>
      <c r="F85" s="109">
        <f>E85</f>
        <v>-267059.56</v>
      </c>
      <c r="I85">
        <v>2400</v>
      </c>
      <c r="J85" s="108" t="s">
        <v>578</v>
      </c>
      <c r="K85" s="23">
        <v>-267059.56</v>
      </c>
      <c r="L85" s="23">
        <v>-55318.879999999997</v>
      </c>
      <c r="M85" s="23">
        <v>-322378.44</v>
      </c>
      <c r="N85" s="23">
        <f>M85</f>
        <v>-322378.44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9">
      <c r="A86">
        <v>2442</v>
      </c>
      <c r="B86" s="108" t="s">
        <v>576</v>
      </c>
      <c r="C86" s="106">
        <v>-10000</v>
      </c>
      <c r="D86" s="106">
        <v>0</v>
      </c>
      <c r="E86" s="114">
        <v>-10000</v>
      </c>
      <c r="I86">
        <v>2442</v>
      </c>
      <c r="J86" s="108" t="s">
        <v>576</v>
      </c>
      <c r="K86" s="23">
        <v>-10000</v>
      </c>
      <c r="L86" s="23">
        <v>0</v>
      </c>
      <c r="M86" s="30">
        <v>-10000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>
      <c r="A87">
        <v>2443</v>
      </c>
      <c r="B87" s="108" t="s">
        <v>150</v>
      </c>
      <c r="C87" s="106">
        <v>-35000</v>
      </c>
      <c r="D87" s="106">
        <v>0</v>
      </c>
      <c r="E87" s="112">
        <v>-35000</v>
      </c>
      <c r="I87">
        <v>2443</v>
      </c>
      <c r="J87" s="108" t="s">
        <v>150</v>
      </c>
      <c r="K87" s="23">
        <v>-35000</v>
      </c>
      <c r="L87" s="23">
        <v>0</v>
      </c>
      <c r="M87" s="32">
        <v>-35000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39">
      <c r="A88">
        <v>2444</v>
      </c>
      <c r="B88" s="108" t="s">
        <v>577</v>
      </c>
      <c r="C88" s="106">
        <v>-10000</v>
      </c>
      <c r="D88" s="106">
        <v>0</v>
      </c>
      <c r="E88" s="114">
        <v>-10000</v>
      </c>
      <c r="F88" s="115">
        <f>E86+E88</f>
        <v>-20000</v>
      </c>
      <c r="I88">
        <v>2444</v>
      </c>
      <c r="J88" s="108" t="s">
        <v>577</v>
      </c>
      <c r="K88" s="23">
        <v>-10000</v>
      </c>
      <c r="L88" s="23">
        <v>0</v>
      </c>
      <c r="M88" s="30">
        <v>-10000</v>
      </c>
      <c r="N88" s="30">
        <f>M86+M88</f>
        <v>-20000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</row>
    <row r="89" spans="1:39">
      <c r="A89">
        <v>2600</v>
      </c>
      <c r="B89" s="108" t="s">
        <v>579</v>
      </c>
      <c r="C89" s="106">
        <v>-6256.87</v>
      </c>
      <c r="D89" s="106">
        <v>-9401.1299999999992</v>
      </c>
      <c r="E89" s="110">
        <v>-15658</v>
      </c>
      <c r="I89">
        <v>2600</v>
      </c>
      <c r="J89" s="108" t="s">
        <v>579</v>
      </c>
      <c r="K89" s="23">
        <v>-15658</v>
      </c>
      <c r="L89" s="23">
        <v>-3159</v>
      </c>
      <c r="M89" s="33">
        <v>-18817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9">
      <c r="A90">
        <v>2770</v>
      </c>
      <c r="B90" s="108" t="s">
        <v>160</v>
      </c>
      <c r="C90" s="106">
        <v>-5791</v>
      </c>
      <c r="D90" s="106">
        <v>-44319</v>
      </c>
      <c r="E90" s="110">
        <v>-50110</v>
      </c>
      <c r="F90" s="111">
        <f>E89+E90</f>
        <v>-65768</v>
      </c>
      <c r="I90">
        <v>2770</v>
      </c>
      <c r="J90" s="108" t="s">
        <v>160</v>
      </c>
      <c r="K90" s="23">
        <v>-50110</v>
      </c>
      <c r="L90" s="23">
        <v>12810</v>
      </c>
      <c r="M90" s="33">
        <v>-37300</v>
      </c>
      <c r="N90" s="33">
        <f>SUM(M89:M90)</f>
        <v>-56117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9">
      <c r="A91">
        <v>2780</v>
      </c>
      <c r="B91" s="108" t="s">
        <v>582</v>
      </c>
      <c r="C91" s="106">
        <v>-6734.76</v>
      </c>
      <c r="D91" s="106">
        <v>-264.14</v>
      </c>
      <c r="E91" s="117">
        <v>-6998.9</v>
      </c>
      <c r="I91">
        <v>2780</v>
      </c>
      <c r="J91" s="108" t="s">
        <v>582</v>
      </c>
      <c r="K91" s="23">
        <v>-6998.9</v>
      </c>
      <c r="L91" s="23">
        <v>862.56</v>
      </c>
      <c r="M91" s="37">
        <v>-6136.34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9">
      <c r="A92">
        <v>2910</v>
      </c>
      <c r="B92" s="108" t="s">
        <v>166</v>
      </c>
      <c r="C92" s="106">
        <v>0</v>
      </c>
      <c r="D92" s="106">
        <v>0</v>
      </c>
      <c r="E92" s="117">
        <v>0</v>
      </c>
      <c r="I92">
        <v>2900</v>
      </c>
      <c r="J92" s="108" t="s">
        <v>164</v>
      </c>
      <c r="K92" s="23">
        <v>0</v>
      </c>
      <c r="L92" s="23">
        <v>21111.14</v>
      </c>
      <c r="M92" s="37">
        <v>21111.14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9">
      <c r="A93">
        <v>2930</v>
      </c>
      <c r="B93" s="108" t="s">
        <v>583</v>
      </c>
      <c r="C93" s="106">
        <v>0</v>
      </c>
      <c r="D93" s="106">
        <v>-20058</v>
      </c>
      <c r="E93" s="117">
        <v>-20058</v>
      </c>
      <c r="I93">
        <v>2930</v>
      </c>
      <c r="J93" s="108" t="s">
        <v>583</v>
      </c>
      <c r="K93" s="23">
        <v>-20058</v>
      </c>
      <c r="L93" s="23">
        <v>20058</v>
      </c>
      <c r="M93" s="37">
        <v>0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9">
      <c r="A94">
        <v>2940</v>
      </c>
      <c r="B94" s="108" t="s">
        <v>168</v>
      </c>
      <c r="C94" s="106">
        <v>-47763.97</v>
      </c>
      <c r="D94" s="106">
        <v>-1873.69</v>
      </c>
      <c r="E94" s="117">
        <v>-49637.66</v>
      </c>
      <c r="I94">
        <v>2940</v>
      </c>
      <c r="J94" s="108" t="s">
        <v>168</v>
      </c>
      <c r="K94" s="23">
        <v>-49637.66</v>
      </c>
      <c r="L94" s="23">
        <v>6117.65</v>
      </c>
      <c r="M94" s="37">
        <v>-43520.01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9">
      <c r="A95">
        <v>2960</v>
      </c>
      <c r="B95" s="108" t="s">
        <v>584</v>
      </c>
      <c r="C95" s="106">
        <v>0</v>
      </c>
      <c r="D95" s="106">
        <v>-76950</v>
      </c>
      <c r="E95" s="117">
        <v>-76950</v>
      </c>
      <c r="F95" s="118">
        <f>SUM(E91:E95)+E82</f>
        <v>-161444.56</v>
      </c>
      <c r="G95" s="109">
        <f>SUM(F84:F95)</f>
        <v>-1827062.12</v>
      </c>
      <c r="H95" s="109">
        <f>SUM(G74:G95)</f>
        <v>-3608635.4400000013</v>
      </c>
      <c r="I95">
        <v>2960</v>
      </c>
      <c r="J95" s="108" t="s">
        <v>584</v>
      </c>
      <c r="K95" s="23">
        <v>-76950</v>
      </c>
      <c r="L95" s="23">
        <v>76950</v>
      </c>
      <c r="M95" s="37">
        <v>-380000</v>
      </c>
      <c r="N95" s="37">
        <f>SUM(M91:M95)+M82</f>
        <v>-416345.21</v>
      </c>
      <c r="O95" s="23">
        <f>SUM(N84:N95)</f>
        <v>-2127630.65</v>
      </c>
      <c r="P95" s="23">
        <f>SUM(O74:O95)</f>
        <v>-3401678.2800000021</v>
      </c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9">
      <c r="A96">
        <v>0</v>
      </c>
      <c r="B96" s="108" t="s">
        <v>586</v>
      </c>
      <c r="C96" s="106">
        <f>SUM(C39:C95)</f>
        <v>-3532781.7500000005</v>
      </c>
      <c r="D96" s="106">
        <v>397583.43</v>
      </c>
      <c r="E96" s="106">
        <f>SUM(E39:E95)</f>
        <v>-3608635.4400000013</v>
      </c>
      <c r="F96" s="109" t="s">
        <v>374</v>
      </c>
      <c r="J96" s="108" t="s">
        <v>586</v>
      </c>
      <c r="K96" s="23"/>
      <c r="L96" s="23"/>
      <c r="M96" s="23">
        <f>SUM(M39:M95)</f>
        <v>-3401678.2800000021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1:39">
      <c r="A97">
        <v>0</v>
      </c>
      <c r="B97" s="108"/>
      <c r="C97" s="106">
        <v>0</v>
      </c>
      <c r="D97" s="106">
        <v>0</v>
      </c>
      <c r="E97" s="106">
        <v>0</v>
      </c>
      <c r="J97" s="108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1:39">
      <c r="A98">
        <v>3110</v>
      </c>
      <c r="B98" s="108" t="s">
        <v>176</v>
      </c>
      <c r="C98" s="106">
        <v>0</v>
      </c>
      <c r="D98" s="106">
        <v>-315533.52</v>
      </c>
      <c r="E98" s="125">
        <v>-315533.52</v>
      </c>
      <c r="I98">
        <v>3110</v>
      </c>
      <c r="J98" s="108" t="s">
        <v>176</v>
      </c>
      <c r="K98" s="23">
        <v>0</v>
      </c>
      <c r="L98" s="23">
        <v>-153867.82</v>
      </c>
      <c r="M98" s="36">
        <v>-133580.82</v>
      </c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:39">
      <c r="A99">
        <v>3120</v>
      </c>
      <c r="B99" s="108" t="s">
        <v>178</v>
      </c>
      <c r="E99" s="125"/>
      <c r="I99">
        <v>3120</v>
      </c>
      <c r="J99" s="108" t="s">
        <v>178</v>
      </c>
      <c r="K99" s="23">
        <v>0</v>
      </c>
      <c r="L99" s="23">
        <v>-10000</v>
      </c>
      <c r="M99" s="36">
        <v>-10000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1:39">
      <c r="A100">
        <v>3400</v>
      </c>
      <c r="B100" s="108" t="s">
        <v>182</v>
      </c>
      <c r="C100" s="106">
        <v>0</v>
      </c>
      <c r="D100" s="106">
        <v>-532597.46</v>
      </c>
      <c r="E100" s="119">
        <v>-532597.46</v>
      </c>
      <c r="F100" s="120">
        <f>E100</f>
        <v>-532597.46</v>
      </c>
      <c r="I100">
        <v>3400</v>
      </c>
      <c r="J100" s="108" t="s">
        <v>182</v>
      </c>
      <c r="K100" s="23">
        <v>0</v>
      </c>
      <c r="L100" s="23">
        <v>-323600</v>
      </c>
      <c r="M100" s="32">
        <v>-323600</v>
      </c>
      <c r="N100" s="32">
        <f>M100</f>
        <v>-323600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1:39">
      <c r="A101">
        <v>3430</v>
      </c>
      <c r="B101" s="108" t="s">
        <v>587</v>
      </c>
      <c r="C101" s="106">
        <v>0</v>
      </c>
      <c r="D101" s="106">
        <v>-8000</v>
      </c>
      <c r="E101" s="125">
        <v>-8000</v>
      </c>
      <c r="I101">
        <v>3430</v>
      </c>
      <c r="J101" s="108" t="s">
        <v>587</v>
      </c>
      <c r="K101" s="23"/>
      <c r="L101" s="23"/>
      <c r="M101" s="36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1:39">
      <c r="A102">
        <v>3440</v>
      </c>
      <c r="B102" s="108" t="s">
        <v>588</v>
      </c>
      <c r="C102" s="106">
        <v>0</v>
      </c>
      <c r="D102" s="106">
        <v>-206784</v>
      </c>
      <c r="E102" s="125">
        <v>-206784</v>
      </c>
      <c r="I102">
        <v>3440</v>
      </c>
      <c r="J102" s="108" t="s">
        <v>588</v>
      </c>
      <c r="K102" s="23"/>
      <c r="L102" s="23"/>
      <c r="M102" s="36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1:39">
      <c r="A103">
        <v>3490</v>
      </c>
      <c r="B103" s="108" t="s">
        <v>194</v>
      </c>
      <c r="C103" s="106">
        <v>0</v>
      </c>
      <c r="D103" s="106">
        <v>-329665.95</v>
      </c>
      <c r="E103" s="125">
        <v>-329665.95</v>
      </c>
      <c r="I103">
        <v>3490</v>
      </c>
      <c r="J103" s="108" t="s">
        <v>194</v>
      </c>
      <c r="K103" s="23">
        <v>0</v>
      </c>
      <c r="L103" s="23">
        <v>-1039420.43</v>
      </c>
      <c r="M103" s="36">
        <v>-658720.43000000005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1:39">
      <c r="A104">
        <v>3610</v>
      </c>
      <c r="B104" s="108" t="s">
        <v>589</v>
      </c>
      <c r="C104" s="106">
        <v>0</v>
      </c>
      <c r="D104" s="106">
        <v>-180263.75</v>
      </c>
      <c r="E104" s="121">
        <v>-180263.75</v>
      </c>
      <c r="I104">
        <v>3610</v>
      </c>
      <c r="J104" s="108" t="s">
        <v>589</v>
      </c>
      <c r="K104" s="23">
        <v>0</v>
      </c>
      <c r="L104" s="23">
        <v>-191880</v>
      </c>
      <c r="M104" s="39">
        <v>-191880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1:39">
      <c r="A105">
        <v>3630</v>
      </c>
      <c r="B105" s="108" t="s">
        <v>198</v>
      </c>
      <c r="C105" s="106">
        <v>0</v>
      </c>
      <c r="D105" s="106">
        <v>-2000</v>
      </c>
      <c r="E105" s="121">
        <v>-2000</v>
      </c>
      <c r="F105" s="122">
        <f>SUM(E104:E105)</f>
        <v>-182263.75</v>
      </c>
      <c r="I105">
        <v>3630</v>
      </c>
      <c r="J105" s="108" t="s">
        <v>198</v>
      </c>
      <c r="K105" s="23">
        <v>0</v>
      </c>
      <c r="L105" s="23">
        <v>-7650</v>
      </c>
      <c r="M105" s="39">
        <v>-7650</v>
      </c>
      <c r="N105" s="39">
        <f>SUM(M104:M105)</f>
        <v>-199530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1:39">
      <c r="A106">
        <v>3900</v>
      </c>
      <c r="B106" s="108" t="s">
        <v>590</v>
      </c>
      <c r="C106" s="106">
        <v>0</v>
      </c>
      <c r="D106" s="106">
        <v>-235867</v>
      </c>
      <c r="E106" s="125">
        <v>-235867</v>
      </c>
      <c r="I106">
        <v>3900</v>
      </c>
      <c r="J106" s="108" t="s">
        <v>590</v>
      </c>
      <c r="K106" s="23"/>
      <c r="L106" s="23"/>
      <c r="M106" s="36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1:39">
      <c r="A107">
        <v>3910</v>
      </c>
      <c r="B107" s="108" t="s">
        <v>591</v>
      </c>
      <c r="C107" s="106">
        <v>0</v>
      </c>
      <c r="D107" s="106">
        <v>-365</v>
      </c>
      <c r="E107" s="123">
        <v>-365</v>
      </c>
      <c r="I107">
        <v>3910</v>
      </c>
      <c r="J107" s="108" t="s">
        <v>591</v>
      </c>
      <c r="K107" s="23">
        <v>0</v>
      </c>
      <c r="L107" s="23">
        <v>-172767.21</v>
      </c>
      <c r="M107" s="40">
        <v>-172767.21</v>
      </c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1:39">
      <c r="A108">
        <v>3915</v>
      </c>
      <c r="B108" s="108" t="s">
        <v>204</v>
      </c>
      <c r="C108" s="106">
        <v>0</v>
      </c>
      <c r="D108" s="106">
        <v>-307170</v>
      </c>
      <c r="E108" s="123">
        <v>-307170</v>
      </c>
      <c r="I108">
        <v>3915</v>
      </c>
      <c r="J108" s="108" t="s">
        <v>204</v>
      </c>
      <c r="K108" s="23">
        <v>0</v>
      </c>
      <c r="L108" s="23">
        <v>-450</v>
      </c>
      <c r="M108" s="40">
        <v>-450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1:39">
      <c r="A109">
        <v>3920</v>
      </c>
      <c r="B109" s="108" t="s">
        <v>592</v>
      </c>
      <c r="C109" s="106">
        <v>0</v>
      </c>
      <c r="D109" s="106">
        <v>-605767.4</v>
      </c>
      <c r="E109" s="123">
        <v>-605767.4</v>
      </c>
      <c r="I109">
        <v>3920</v>
      </c>
      <c r="J109" s="108" t="s">
        <v>592</v>
      </c>
      <c r="K109" s="23">
        <v>0</v>
      </c>
      <c r="L109" s="23">
        <v>-1091470.0900000001</v>
      </c>
      <c r="M109" s="40">
        <v>-1091470.0900000001</v>
      </c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1:39">
      <c r="A110">
        <v>3925</v>
      </c>
      <c r="B110" s="108" t="s">
        <v>208</v>
      </c>
      <c r="C110" s="106">
        <v>0</v>
      </c>
      <c r="D110" s="106">
        <v>-624576</v>
      </c>
      <c r="E110" s="123">
        <v>-624576</v>
      </c>
      <c r="F110" s="124">
        <f>SUM(E107:E110)</f>
        <v>-1537878.4</v>
      </c>
      <c r="I110">
        <v>3925</v>
      </c>
      <c r="J110" s="108" t="s">
        <v>208</v>
      </c>
      <c r="K110" s="23">
        <v>0</v>
      </c>
      <c r="L110" s="23">
        <v>-2475</v>
      </c>
      <c r="M110" s="40">
        <v>-2475</v>
      </c>
      <c r="N110" s="40">
        <f>SUM(M107:M110)</f>
        <v>-1267162.3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1:39">
      <c r="A111">
        <v>3940</v>
      </c>
      <c r="B111" s="108" t="s">
        <v>212</v>
      </c>
      <c r="C111" s="106">
        <v>0</v>
      </c>
      <c r="D111" s="106">
        <v>-33000</v>
      </c>
      <c r="E111" s="125">
        <v>-33000</v>
      </c>
      <c r="I111">
        <v>3940</v>
      </c>
      <c r="J111" s="108" t="s">
        <v>212</v>
      </c>
      <c r="K111" s="23">
        <v>0</v>
      </c>
      <c r="L111" s="23">
        <v>-192568</v>
      </c>
      <c r="M111" s="36">
        <v>-188593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1:39">
      <c r="A112">
        <v>3950</v>
      </c>
      <c r="B112" s="108" t="s">
        <v>214</v>
      </c>
      <c r="C112" s="106">
        <v>0</v>
      </c>
      <c r="D112" s="106">
        <v>-381753.12</v>
      </c>
      <c r="E112" s="125">
        <v>-381753.12</v>
      </c>
      <c r="I112">
        <v>3950</v>
      </c>
      <c r="J112" s="108" t="s">
        <v>214</v>
      </c>
      <c r="K112" s="23">
        <v>0</v>
      </c>
      <c r="L112" s="23">
        <v>-354129.87</v>
      </c>
      <c r="M112" s="36">
        <v>-343954.87</v>
      </c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:39">
      <c r="A113">
        <v>3960</v>
      </c>
      <c r="B113" s="108" t="s">
        <v>216</v>
      </c>
      <c r="C113" s="106">
        <v>0</v>
      </c>
      <c r="D113" s="106">
        <v>-444075.39</v>
      </c>
      <c r="E113" s="125">
        <v>-444075.39</v>
      </c>
      <c r="I113">
        <v>3960</v>
      </c>
      <c r="J113" s="108" t="s">
        <v>216</v>
      </c>
      <c r="K113" s="23">
        <v>0</v>
      </c>
      <c r="L113" s="23">
        <v>-497972.32</v>
      </c>
      <c r="M113" s="36">
        <v>-497972.32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:39">
      <c r="A114">
        <v>3970</v>
      </c>
      <c r="B114" s="108" t="s">
        <v>218</v>
      </c>
      <c r="C114" s="106">
        <v>0</v>
      </c>
      <c r="D114" s="106">
        <v>-190426</v>
      </c>
      <c r="E114" s="125">
        <v>-190426</v>
      </c>
      <c r="I114">
        <v>3970</v>
      </c>
      <c r="J114" s="108" t="s">
        <v>218</v>
      </c>
      <c r="K114" s="23">
        <v>0</v>
      </c>
      <c r="L114" s="23">
        <v>-374526</v>
      </c>
      <c r="M114" s="36">
        <v>-374526</v>
      </c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:39">
      <c r="A115">
        <v>3990</v>
      </c>
      <c r="B115" s="108" t="s">
        <v>220</v>
      </c>
      <c r="C115" s="106">
        <v>0</v>
      </c>
      <c r="D115" s="106">
        <v>-448572.96</v>
      </c>
      <c r="E115" s="125">
        <v>-448572.96</v>
      </c>
      <c r="F115" s="126">
        <f>E98+E101+E102+E103+E106+E111+E112+E113+E114+E115</f>
        <v>-2593677.94</v>
      </c>
      <c r="G115" s="109">
        <f>SUM(F100:F115)</f>
        <v>-4846417.55</v>
      </c>
      <c r="I115">
        <v>3990</v>
      </c>
      <c r="J115" s="108" t="s">
        <v>220</v>
      </c>
      <c r="K115" s="23">
        <v>0</v>
      </c>
      <c r="L115" s="23">
        <v>-812602.39</v>
      </c>
      <c r="M115" s="36">
        <v>-832889.39</v>
      </c>
      <c r="N115" s="36">
        <f>M98+M99+M101+M102+M103+M106+M111+M112+M113+M114+M115</f>
        <v>-3040236.8300000005</v>
      </c>
      <c r="O115" s="23">
        <f>SUM(N100:N115)</f>
        <v>-4830529.1300000008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:39">
      <c r="A116">
        <v>0</v>
      </c>
      <c r="B116" s="108" t="s">
        <v>593</v>
      </c>
      <c r="C116" s="106">
        <v>0</v>
      </c>
      <c r="D116" s="106">
        <v>-4846417.55</v>
      </c>
      <c r="E116" s="106">
        <v>-4846417.55</v>
      </c>
      <c r="J116" s="108" t="s">
        <v>593</v>
      </c>
      <c r="K116" s="23"/>
      <c r="L116" s="23"/>
      <c r="M116" s="23">
        <f>SUM(M98:M115)</f>
        <v>-4830529.13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:39">
      <c r="A117">
        <v>0</v>
      </c>
      <c r="B117" s="108"/>
      <c r="C117" s="106">
        <v>0</v>
      </c>
      <c r="D117" s="106">
        <v>0</v>
      </c>
      <c r="E117" s="106">
        <v>0</v>
      </c>
      <c r="J117" s="108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:39">
      <c r="A118">
        <v>4110</v>
      </c>
      <c r="B118" s="108" t="s">
        <v>696</v>
      </c>
      <c r="I118">
        <v>4110</v>
      </c>
      <c r="J118" s="108" t="s">
        <v>696</v>
      </c>
      <c r="K118" s="23">
        <v>0</v>
      </c>
      <c r="L118" s="23">
        <v>115689.82</v>
      </c>
      <c r="M118" s="35">
        <v>115689.82</v>
      </c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:39">
      <c r="A119">
        <v>4120</v>
      </c>
      <c r="B119" s="108" t="s">
        <v>697</v>
      </c>
      <c r="I119">
        <v>4120</v>
      </c>
      <c r="J119" s="108" t="s">
        <v>697</v>
      </c>
      <c r="K119" s="23">
        <v>0</v>
      </c>
      <c r="L119" s="23">
        <v>586345.47</v>
      </c>
      <c r="M119" s="35">
        <v>586345.47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:39">
      <c r="A120">
        <v>4150</v>
      </c>
      <c r="B120" s="108" t="s">
        <v>698</v>
      </c>
      <c r="I120">
        <v>4150</v>
      </c>
      <c r="J120" s="108" t="s">
        <v>698</v>
      </c>
      <c r="K120" s="23">
        <v>0</v>
      </c>
      <c r="L120" s="23">
        <v>320839.11</v>
      </c>
      <c r="M120" s="35">
        <v>320839.11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:39">
      <c r="A121">
        <v>4210</v>
      </c>
      <c r="B121" s="108" t="s">
        <v>224</v>
      </c>
      <c r="C121" s="106">
        <v>0</v>
      </c>
      <c r="D121" s="106">
        <v>210606.71</v>
      </c>
      <c r="E121" s="119">
        <v>210606.71</v>
      </c>
      <c r="I121">
        <v>4200</v>
      </c>
      <c r="J121" s="108" t="s">
        <v>323</v>
      </c>
      <c r="K121" s="23">
        <v>0</v>
      </c>
      <c r="L121" s="23">
        <v>639355.57999999996</v>
      </c>
      <c r="M121" s="35">
        <v>639355.57999999996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:39">
      <c r="A122">
        <v>4300</v>
      </c>
      <c r="B122" s="108" t="s">
        <v>699</v>
      </c>
      <c r="E122" s="119"/>
      <c r="I122">
        <v>4300</v>
      </c>
      <c r="J122" s="108" t="s">
        <v>699</v>
      </c>
      <c r="K122" s="23">
        <v>0</v>
      </c>
      <c r="L122" s="23">
        <v>19372.72</v>
      </c>
      <c r="M122" s="35">
        <v>19372.72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:39">
      <c r="A123">
        <v>4500</v>
      </c>
      <c r="B123" s="108" t="s">
        <v>594</v>
      </c>
      <c r="C123" s="106">
        <v>0</v>
      </c>
      <c r="D123" s="106">
        <v>137247.9</v>
      </c>
      <c r="E123" s="119">
        <v>137247.9</v>
      </c>
      <c r="I123">
        <v>4500</v>
      </c>
      <c r="J123" s="108" t="s">
        <v>700</v>
      </c>
      <c r="K123" s="23">
        <v>0</v>
      </c>
      <c r="L123" s="23">
        <v>161090</v>
      </c>
      <c r="M123" s="35">
        <v>161090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:39">
      <c r="A124">
        <v>4510</v>
      </c>
      <c r="B124" s="108" t="s">
        <v>701</v>
      </c>
      <c r="E124" s="119"/>
      <c r="F124" s="120"/>
      <c r="I124">
        <v>4510</v>
      </c>
      <c r="J124" s="108" t="s">
        <v>701</v>
      </c>
      <c r="K124" s="23">
        <v>0</v>
      </c>
      <c r="L124" s="23">
        <v>92454.79</v>
      </c>
      <c r="M124" s="35">
        <v>92454.79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:39">
      <c r="A125">
        <v>4590</v>
      </c>
      <c r="B125" s="108" t="s">
        <v>435</v>
      </c>
      <c r="E125" s="119"/>
      <c r="F125" s="120"/>
      <c r="I125">
        <v>4590</v>
      </c>
      <c r="J125" s="108" t="s">
        <v>435</v>
      </c>
      <c r="K125" s="23">
        <v>0</v>
      </c>
      <c r="L125" s="23">
        <v>-65584.5</v>
      </c>
      <c r="M125" s="35">
        <v>22142.5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:39">
      <c r="A126">
        <v>4610</v>
      </c>
      <c r="B126" s="108" t="s">
        <v>702</v>
      </c>
      <c r="E126" s="119"/>
      <c r="F126" s="120"/>
      <c r="I126">
        <v>4610</v>
      </c>
      <c r="J126" s="108" t="s">
        <v>702</v>
      </c>
      <c r="K126" s="23">
        <v>0</v>
      </c>
      <c r="L126" s="23">
        <v>110694.57</v>
      </c>
      <c r="M126" s="35">
        <v>110694.57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:39">
      <c r="A127">
        <v>4700</v>
      </c>
      <c r="B127" s="108" t="s">
        <v>335</v>
      </c>
      <c r="E127" s="119"/>
      <c r="F127" s="120"/>
      <c r="I127">
        <v>4700</v>
      </c>
      <c r="J127" s="108" t="s">
        <v>335</v>
      </c>
      <c r="K127" s="23">
        <v>0</v>
      </c>
      <c r="L127" s="23">
        <v>282217.3</v>
      </c>
      <c r="M127" s="35">
        <v>282217.3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:39">
      <c r="A128">
        <v>4800</v>
      </c>
      <c r="B128" s="108" t="s">
        <v>703</v>
      </c>
      <c r="E128" s="119"/>
      <c r="F128" s="120"/>
      <c r="I128">
        <v>4800</v>
      </c>
      <c r="J128" s="108" t="s">
        <v>703</v>
      </c>
      <c r="K128" s="23">
        <v>0</v>
      </c>
      <c r="L128" s="23">
        <v>613257.74</v>
      </c>
      <c r="M128" s="35">
        <v>609282.74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:39">
      <c r="A129">
        <v>4990</v>
      </c>
      <c r="B129" s="108" t="s">
        <v>704</v>
      </c>
      <c r="E129" s="119"/>
      <c r="F129" s="120"/>
      <c r="I129">
        <v>4990</v>
      </c>
      <c r="J129" s="108" t="s">
        <v>704</v>
      </c>
      <c r="K129" s="23">
        <v>0</v>
      </c>
      <c r="L129" s="23">
        <v>214857.94</v>
      </c>
      <c r="M129" s="35">
        <v>214857.94</v>
      </c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:39">
      <c r="A130">
        <v>0</v>
      </c>
      <c r="B130" s="108" t="s">
        <v>595</v>
      </c>
      <c r="C130" s="106">
        <v>0</v>
      </c>
      <c r="D130" s="106">
        <v>347854.61</v>
      </c>
      <c r="E130" s="119">
        <v>347854.61</v>
      </c>
      <c r="F130" s="120">
        <f>SUM(E121:E123)</f>
        <v>347854.61</v>
      </c>
      <c r="J130" s="108" t="s">
        <v>595</v>
      </c>
      <c r="K130" s="23"/>
      <c r="L130" s="23"/>
      <c r="M130" s="35">
        <f>SUM(M118:M129)</f>
        <v>3174342.5399999996</v>
      </c>
      <c r="N130" s="35">
        <f>M130</f>
        <v>3174342.5399999996</v>
      </c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:39">
      <c r="A131">
        <v>0</v>
      </c>
      <c r="B131" s="108"/>
      <c r="C131" s="106">
        <v>0</v>
      </c>
      <c r="D131" s="106">
        <v>0</v>
      </c>
      <c r="E131" s="106">
        <v>0</v>
      </c>
      <c r="J131" s="108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:39">
      <c r="A132">
        <v>5010</v>
      </c>
      <c r="B132" s="108" t="s">
        <v>596</v>
      </c>
      <c r="C132" s="106">
        <v>0</v>
      </c>
      <c r="D132" s="106">
        <v>477247.28</v>
      </c>
      <c r="E132" s="116">
        <v>477247.28</v>
      </c>
      <c r="I132">
        <v>5010</v>
      </c>
      <c r="J132" s="108" t="s">
        <v>596</v>
      </c>
      <c r="K132" s="23">
        <v>0</v>
      </c>
      <c r="L132" s="23">
        <v>362667.04</v>
      </c>
      <c r="M132" s="34">
        <v>362667.04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:39">
      <c r="A133">
        <v>5011</v>
      </c>
      <c r="B133" s="108" t="s">
        <v>597</v>
      </c>
      <c r="C133" s="106">
        <v>0</v>
      </c>
      <c r="D133" s="106">
        <v>335770.5</v>
      </c>
      <c r="E133" s="116">
        <v>335770.5</v>
      </c>
      <c r="I133">
        <v>5011</v>
      </c>
      <c r="J133" s="108" t="s">
        <v>597</v>
      </c>
      <c r="K133" s="23">
        <v>0</v>
      </c>
      <c r="L133" s="23">
        <v>312123.2</v>
      </c>
      <c r="M133" s="34">
        <v>312123.2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:39">
      <c r="A134">
        <v>5020</v>
      </c>
      <c r="B134" s="108" t="s">
        <v>599</v>
      </c>
      <c r="C134" s="106">
        <v>0</v>
      </c>
      <c r="D134" s="106">
        <v>57269.68</v>
      </c>
      <c r="E134" s="116">
        <v>57269.68</v>
      </c>
      <c r="I134">
        <v>5020</v>
      </c>
      <c r="J134" s="108" t="s">
        <v>599</v>
      </c>
      <c r="K134" s="23">
        <v>0</v>
      </c>
      <c r="L134" s="23">
        <v>43520.03</v>
      </c>
      <c r="M134" s="34">
        <v>43520.03</v>
      </c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:39">
      <c r="A135">
        <v>5250</v>
      </c>
      <c r="B135" s="108" t="s">
        <v>600</v>
      </c>
      <c r="C135" s="106">
        <v>0</v>
      </c>
      <c r="D135" s="106">
        <v>12409</v>
      </c>
      <c r="E135" s="116">
        <v>12409</v>
      </c>
      <c r="I135">
        <v>5250</v>
      </c>
      <c r="J135" s="108" t="s">
        <v>600</v>
      </c>
      <c r="K135" s="23">
        <v>0</v>
      </c>
      <c r="L135" s="23">
        <v>14719</v>
      </c>
      <c r="M135" s="34">
        <v>14719</v>
      </c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:39">
      <c r="A136">
        <v>5270</v>
      </c>
      <c r="B136" s="108" t="s">
        <v>601</v>
      </c>
      <c r="C136" s="106">
        <v>0</v>
      </c>
      <c r="D136" s="106">
        <v>2700</v>
      </c>
      <c r="E136" s="116">
        <v>2700</v>
      </c>
      <c r="I136">
        <v>5270</v>
      </c>
      <c r="J136" s="108" t="s">
        <v>601</v>
      </c>
      <c r="K136" s="23">
        <v>0</v>
      </c>
      <c r="L136" s="23">
        <v>4392</v>
      </c>
      <c r="M136" s="34">
        <v>4392</v>
      </c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:39">
      <c r="A137">
        <v>5290</v>
      </c>
      <c r="B137" s="108" t="s">
        <v>602</v>
      </c>
      <c r="C137" s="106">
        <v>0</v>
      </c>
      <c r="D137" s="106">
        <v>-12409</v>
      </c>
      <c r="E137" s="116">
        <v>-12409</v>
      </c>
      <c r="I137">
        <v>5290</v>
      </c>
      <c r="J137" s="108" t="s">
        <v>602</v>
      </c>
      <c r="K137" s="23">
        <v>0</v>
      </c>
      <c r="L137" s="23">
        <v>-14719</v>
      </c>
      <c r="M137" s="34">
        <v>-14719</v>
      </c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:39">
      <c r="A138">
        <v>5330</v>
      </c>
      <c r="B138" s="108" t="s">
        <v>705</v>
      </c>
      <c r="E138" s="116"/>
      <c r="I138">
        <v>5330</v>
      </c>
      <c r="J138" s="108" t="s">
        <v>705</v>
      </c>
      <c r="K138" s="23">
        <v>0</v>
      </c>
      <c r="L138" s="23">
        <v>2000</v>
      </c>
      <c r="M138" s="34">
        <v>2000</v>
      </c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:39">
      <c r="A139">
        <v>5350</v>
      </c>
      <c r="B139" s="108" t="s">
        <v>603</v>
      </c>
      <c r="C139" s="106">
        <v>0</v>
      </c>
      <c r="D139" s="106">
        <v>185504.34</v>
      </c>
      <c r="E139" s="116">
        <v>185504.34</v>
      </c>
      <c r="I139">
        <v>5350</v>
      </c>
      <c r="J139" s="108" t="s">
        <v>603</v>
      </c>
      <c r="K139" s="23">
        <v>0</v>
      </c>
      <c r="L139" s="23">
        <v>107604.06</v>
      </c>
      <c r="M139" s="34">
        <v>107604.06</v>
      </c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:39">
      <c r="A140">
        <v>5400</v>
      </c>
      <c r="B140" s="108" t="s">
        <v>232</v>
      </c>
      <c r="C140" s="106">
        <v>0</v>
      </c>
      <c r="D140" s="106">
        <v>116765.89</v>
      </c>
      <c r="E140" s="116">
        <v>116765.89</v>
      </c>
      <c r="I140">
        <v>5400</v>
      </c>
      <c r="J140" s="108" t="s">
        <v>232</v>
      </c>
      <c r="K140" s="23">
        <v>0</v>
      </c>
      <c r="L140" s="23">
        <v>96857.1</v>
      </c>
      <c r="M140" s="34">
        <v>96857.1</v>
      </c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:39">
      <c r="A141">
        <v>5401</v>
      </c>
      <c r="B141" s="108" t="s">
        <v>605</v>
      </c>
      <c r="C141" s="106">
        <v>0</v>
      </c>
      <c r="D141" s="106">
        <v>8074.97</v>
      </c>
      <c r="E141" s="116">
        <v>8074.97</v>
      </c>
      <c r="I141">
        <v>5401</v>
      </c>
      <c r="J141" s="108" t="s">
        <v>605</v>
      </c>
      <c r="K141" s="23">
        <v>0</v>
      </c>
      <c r="L141" s="23">
        <v>6136.34</v>
      </c>
      <c r="M141" s="34">
        <v>6136.34</v>
      </c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:39">
      <c r="A142">
        <v>5500</v>
      </c>
      <c r="B142" s="108" t="s">
        <v>606</v>
      </c>
      <c r="C142" s="106">
        <v>0</v>
      </c>
      <c r="D142" s="106">
        <v>31457.67</v>
      </c>
      <c r="E142" s="116">
        <v>31457.67</v>
      </c>
      <c r="I142">
        <v>5500</v>
      </c>
      <c r="J142" s="108" t="s">
        <v>606</v>
      </c>
      <c r="K142" s="23"/>
      <c r="L142" s="23"/>
      <c r="M142" s="34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:39">
      <c r="A143">
        <v>5800</v>
      </c>
      <c r="B143" s="108" t="s">
        <v>706</v>
      </c>
      <c r="E143" s="116"/>
      <c r="I143">
        <v>5800</v>
      </c>
      <c r="J143" s="108" t="s">
        <v>706</v>
      </c>
      <c r="K143" s="23">
        <v>0</v>
      </c>
      <c r="L143" s="23">
        <v>-8944</v>
      </c>
      <c r="M143" s="34">
        <v>-8944</v>
      </c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:39">
      <c r="A144">
        <v>5801</v>
      </c>
      <c r="B144" s="108" t="s">
        <v>707</v>
      </c>
      <c r="E144" s="116"/>
      <c r="I144">
        <v>5801</v>
      </c>
      <c r="J144" s="108" t="s">
        <v>707</v>
      </c>
      <c r="K144" s="23">
        <v>0</v>
      </c>
      <c r="L144" s="23">
        <v>-8944</v>
      </c>
      <c r="M144" s="34">
        <v>-8944</v>
      </c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:39">
      <c r="A145">
        <v>5802</v>
      </c>
      <c r="B145" s="108" t="s">
        <v>708</v>
      </c>
      <c r="E145" s="116"/>
      <c r="I145">
        <v>5802</v>
      </c>
      <c r="J145" s="108" t="s">
        <v>708</v>
      </c>
      <c r="K145" s="23">
        <v>0</v>
      </c>
      <c r="L145" s="23">
        <v>8944</v>
      </c>
      <c r="M145" s="34">
        <v>8944</v>
      </c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:39">
      <c r="A146">
        <v>5945</v>
      </c>
      <c r="B146" s="108" t="s">
        <v>607</v>
      </c>
      <c r="C146" s="106">
        <v>0</v>
      </c>
      <c r="D146" s="106">
        <v>12409</v>
      </c>
      <c r="E146" s="116">
        <v>12409</v>
      </c>
      <c r="I146">
        <v>5945</v>
      </c>
      <c r="J146" s="108" t="s">
        <v>607</v>
      </c>
      <c r="K146" s="23">
        <v>0</v>
      </c>
      <c r="L146" s="23">
        <v>14719</v>
      </c>
      <c r="M146" s="34">
        <v>14719</v>
      </c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:39">
      <c r="A147">
        <v>5990</v>
      </c>
      <c r="B147" s="108" t="s">
        <v>608</v>
      </c>
      <c r="C147" s="106">
        <v>0</v>
      </c>
      <c r="D147" s="106">
        <v>249545.18</v>
      </c>
      <c r="E147" s="116">
        <v>249545.18</v>
      </c>
      <c r="I147">
        <v>5990</v>
      </c>
      <c r="J147" s="108" t="s">
        <v>608</v>
      </c>
      <c r="K147" s="23">
        <v>0</v>
      </c>
      <c r="L147" s="23">
        <v>20013.55</v>
      </c>
      <c r="M147" s="34">
        <v>20013.55</v>
      </c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:39">
      <c r="A148">
        <v>0</v>
      </c>
      <c r="B148" s="108" t="s">
        <v>609</v>
      </c>
      <c r="C148" s="106">
        <v>0</v>
      </c>
      <c r="D148" s="106">
        <v>1476744.51</v>
      </c>
      <c r="E148" s="116">
        <v>1476744.51</v>
      </c>
      <c r="F148" s="127">
        <f>SUM(E132:E147)</f>
        <v>1476744.5099999998</v>
      </c>
      <c r="J148" s="108" t="s">
        <v>609</v>
      </c>
      <c r="K148" s="23"/>
      <c r="L148" s="23"/>
      <c r="M148" s="34">
        <f>SUM(M132:M147)</f>
        <v>961088.32000000007</v>
      </c>
      <c r="N148" s="34">
        <f>M148</f>
        <v>961088.32000000007</v>
      </c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:39">
      <c r="A149">
        <v>0</v>
      </c>
      <c r="B149" s="108"/>
      <c r="C149" s="106">
        <v>0</v>
      </c>
      <c r="D149" s="106">
        <v>0</v>
      </c>
      <c r="E149" s="106">
        <v>0</v>
      </c>
      <c r="J149" s="108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:39">
      <c r="A150">
        <v>6010</v>
      </c>
      <c r="B150" s="108" t="s">
        <v>247</v>
      </c>
      <c r="C150" s="106">
        <v>0</v>
      </c>
      <c r="D150" s="106">
        <v>98436</v>
      </c>
      <c r="E150" s="201">
        <v>98436</v>
      </c>
      <c r="F150" s="202">
        <f>E150</f>
        <v>98436</v>
      </c>
      <c r="I150">
        <v>6010</v>
      </c>
      <c r="J150" s="108" t="s">
        <v>247</v>
      </c>
      <c r="K150" s="23">
        <v>0</v>
      </c>
      <c r="L150" s="23">
        <v>138410.51999999999</v>
      </c>
      <c r="M150" s="142">
        <v>138410.51999999999</v>
      </c>
      <c r="N150" s="142">
        <f>M150</f>
        <v>138410.51999999999</v>
      </c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:39">
      <c r="A151">
        <v>6110</v>
      </c>
      <c r="B151" s="108" t="s">
        <v>610</v>
      </c>
      <c r="C151" s="106">
        <v>0</v>
      </c>
      <c r="D151" s="106">
        <v>766.5</v>
      </c>
      <c r="E151" s="117">
        <v>766.5</v>
      </c>
      <c r="I151">
        <v>6110</v>
      </c>
      <c r="J151" s="108" t="s">
        <v>610</v>
      </c>
      <c r="K151" s="23"/>
      <c r="L151" s="23"/>
      <c r="M151" s="37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:39">
      <c r="A152">
        <v>6320</v>
      </c>
      <c r="B152" s="108" t="s">
        <v>611</v>
      </c>
      <c r="C152" s="106">
        <v>0</v>
      </c>
      <c r="D152" s="106">
        <v>33812.230000000003</v>
      </c>
      <c r="E152" s="117">
        <v>33812.230000000003</v>
      </c>
      <c r="I152">
        <v>6320</v>
      </c>
      <c r="J152" s="108" t="s">
        <v>611</v>
      </c>
      <c r="K152" s="23">
        <v>0</v>
      </c>
      <c r="L152" s="23">
        <v>49188.98</v>
      </c>
      <c r="M152" s="37">
        <v>49188.98</v>
      </c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>
      <c r="A153">
        <v>6340</v>
      </c>
      <c r="B153" s="108" t="s">
        <v>253</v>
      </c>
      <c r="C153" s="106">
        <v>0</v>
      </c>
      <c r="D153" s="106">
        <v>23621.88</v>
      </c>
      <c r="E153" s="117">
        <v>23621.88</v>
      </c>
      <c r="I153">
        <v>6340</v>
      </c>
      <c r="J153" s="108" t="s">
        <v>253</v>
      </c>
      <c r="K153" s="23">
        <v>0</v>
      </c>
      <c r="L153" s="23">
        <v>58688.15</v>
      </c>
      <c r="M153" s="37">
        <v>58688.15</v>
      </c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>
      <c r="A154">
        <v>6390</v>
      </c>
      <c r="B154" s="108" t="s">
        <v>612</v>
      </c>
      <c r="C154" s="106">
        <v>0</v>
      </c>
      <c r="D154" s="106">
        <v>9528.75</v>
      </c>
      <c r="E154" s="117">
        <v>9528.75</v>
      </c>
      <c r="I154">
        <v>6390</v>
      </c>
      <c r="J154" s="108" t="s">
        <v>612</v>
      </c>
      <c r="K154" s="23">
        <v>0</v>
      </c>
      <c r="L154" s="23">
        <v>38606.25</v>
      </c>
      <c r="M154" s="37">
        <v>38606.25</v>
      </c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:39">
      <c r="A155">
        <v>6410</v>
      </c>
      <c r="B155" s="108" t="s">
        <v>613</v>
      </c>
      <c r="C155" s="106">
        <v>0</v>
      </c>
      <c r="D155" s="106">
        <v>12304.88</v>
      </c>
      <c r="E155" s="117">
        <v>12304.88</v>
      </c>
      <c r="I155">
        <v>6410</v>
      </c>
      <c r="J155" s="108" t="s">
        <v>613</v>
      </c>
      <c r="K155" s="23"/>
      <c r="L155" s="23"/>
      <c r="M155" s="37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:39">
      <c r="A156">
        <v>6540</v>
      </c>
      <c r="B156" s="108" t="s">
        <v>14</v>
      </c>
      <c r="C156" s="106">
        <v>0</v>
      </c>
      <c r="D156" s="106">
        <v>29629.06</v>
      </c>
      <c r="E156" s="117">
        <v>29629.06</v>
      </c>
      <c r="I156">
        <v>6540</v>
      </c>
      <c r="J156" s="108" t="s">
        <v>14</v>
      </c>
      <c r="K156" s="23">
        <v>0</v>
      </c>
      <c r="L156" s="23">
        <v>15793</v>
      </c>
      <c r="M156" s="37">
        <v>15793</v>
      </c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:39">
      <c r="A157">
        <v>6550</v>
      </c>
      <c r="B157" s="108" t="s">
        <v>616</v>
      </c>
      <c r="C157" s="106">
        <v>0</v>
      </c>
      <c r="D157" s="106">
        <v>294394.86</v>
      </c>
      <c r="E157" s="117">
        <v>294394.86</v>
      </c>
      <c r="I157">
        <v>6550</v>
      </c>
      <c r="J157" s="108" t="s">
        <v>616</v>
      </c>
      <c r="K157" s="23">
        <v>0</v>
      </c>
      <c r="L157" s="23">
        <v>13563</v>
      </c>
      <c r="M157" s="37">
        <v>13563</v>
      </c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:39">
      <c r="A158">
        <v>6600</v>
      </c>
      <c r="B158" s="108" t="s">
        <v>617</v>
      </c>
      <c r="C158" s="106">
        <v>0</v>
      </c>
      <c r="D158" s="106">
        <v>342852.06</v>
      </c>
      <c r="E158" s="117">
        <v>342852.06</v>
      </c>
      <c r="I158">
        <v>6600</v>
      </c>
      <c r="J158" s="108" t="s">
        <v>617</v>
      </c>
      <c r="K158" s="23"/>
      <c r="L158" s="23"/>
      <c r="M158" s="37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:39">
      <c r="A159">
        <v>6620</v>
      </c>
      <c r="B159" s="108" t="s">
        <v>618</v>
      </c>
      <c r="C159" s="106">
        <v>0</v>
      </c>
      <c r="D159" s="106">
        <v>10254.59</v>
      </c>
      <c r="E159" s="117">
        <v>10254.59</v>
      </c>
      <c r="I159">
        <v>6620</v>
      </c>
      <c r="J159" s="108" t="s">
        <v>618</v>
      </c>
      <c r="K159" s="23">
        <v>0</v>
      </c>
      <c r="L159" s="23">
        <v>1984</v>
      </c>
      <c r="M159" s="37">
        <v>1984</v>
      </c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:39">
      <c r="A160">
        <v>6700</v>
      </c>
      <c r="B160" s="108" t="s">
        <v>619</v>
      </c>
      <c r="C160" s="106">
        <v>0</v>
      </c>
      <c r="D160" s="106">
        <v>19800</v>
      </c>
      <c r="E160" s="117">
        <v>19800</v>
      </c>
      <c r="I160">
        <v>6700</v>
      </c>
      <c r="J160" s="108" t="s">
        <v>619</v>
      </c>
      <c r="K160" s="23">
        <v>0</v>
      </c>
      <c r="L160" s="23">
        <v>79906.25</v>
      </c>
      <c r="M160" s="37">
        <v>79906.25</v>
      </c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:39">
      <c r="A161">
        <v>6712</v>
      </c>
      <c r="B161" s="108" t="s">
        <v>620</v>
      </c>
      <c r="C161" s="106">
        <v>0</v>
      </c>
      <c r="D161" s="106">
        <v>129649</v>
      </c>
      <c r="E161" s="117">
        <v>129649</v>
      </c>
      <c r="I161">
        <v>6712</v>
      </c>
      <c r="J161" s="108" t="s">
        <v>620</v>
      </c>
      <c r="K161" s="23">
        <v>0</v>
      </c>
      <c r="L161" s="23">
        <v>356288</v>
      </c>
      <c r="M161" s="37">
        <v>356288</v>
      </c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:39">
      <c r="A162">
        <v>6730</v>
      </c>
      <c r="B162" s="108" t="s">
        <v>279</v>
      </c>
      <c r="C162" s="106">
        <v>0</v>
      </c>
      <c r="D162" s="106">
        <v>3400</v>
      </c>
      <c r="E162" s="117">
        <v>3400</v>
      </c>
      <c r="I162">
        <v>6730</v>
      </c>
      <c r="J162" s="108" t="s">
        <v>279</v>
      </c>
      <c r="K162" s="23"/>
      <c r="L162" s="23"/>
      <c r="M162" s="37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:39">
      <c r="A163">
        <v>6790</v>
      </c>
      <c r="B163" s="108" t="s">
        <v>621</v>
      </c>
      <c r="C163" s="106">
        <v>0</v>
      </c>
      <c r="D163" s="106">
        <v>155460.44</v>
      </c>
      <c r="E163" s="117">
        <v>155460.44</v>
      </c>
      <c r="I163">
        <v>6790</v>
      </c>
      <c r="J163" s="108" t="s">
        <v>621</v>
      </c>
      <c r="K163" s="23">
        <v>0</v>
      </c>
      <c r="L163" s="23">
        <v>8406.25</v>
      </c>
      <c r="M163" s="37">
        <v>8406.25</v>
      </c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:39">
      <c r="A164">
        <v>6800</v>
      </c>
      <c r="B164" s="108" t="s">
        <v>287</v>
      </c>
      <c r="C164" s="106">
        <v>0</v>
      </c>
      <c r="D164" s="106">
        <v>5419.9</v>
      </c>
      <c r="E164" s="117">
        <v>5419.9</v>
      </c>
      <c r="I164">
        <v>6800</v>
      </c>
      <c r="J164" s="108" t="s">
        <v>287</v>
      </c>
      <c r="K164" s="23">
        <v>0</v>
      </c>
      <c r="L164" s="23">
        <v>1296</v>
      </c>
      <c r="M164" s="37">
        <v>1296</v>
      </c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:39">
      <c r="A165">
        <v>6810</v>
      </c>
      <c r="B165" s="108" t="s">
        <v>622</v>
      </c>
      <c r="C165" s="106">
        <v>0</v>
      </c>
      <c r="D165" s="106">
        <v>1355</v>
      </c>
      <c r="E165" s="117">
        <v>1355</v>
      </c>
      <c r="I165">
        <v>6810</v>
      </c>
      <c r="J165" s="108" t="s">
        <v>622</v>
      </c>
      <c r="K165" s="23">
        <v>0</v>
      </c>
      <c r="L165" s="23">
        <v>33280.769999999997</v>
      </c>
      <c r="M165" s="37">
        <v>33280.769999999997</v>
      </c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:39">
      <c r="A166">
        <v>6811</v>
      </c>
      <c r="B166" s="108" t="s">
        <v>623</v>
      </c>
      <c r="C166" s="106">
        <v>0</v>
      </c>
      <c r="D166" s="106">
        <v>26256.5</v>
      </c>
      <c r="E166" s="117">
        <v>26256.5</v>
      </c>
      <c r="I166">
        <v>6811</v>
      </c>
      <c r="J166" s="108" t="s">
        <v>623</v>
      </c>
      <c r="K166" s="23">
        <v>0</v>
      </c>
      <c r="L166" s="23">
        <v>10680.95</v>
      </c>
      <c r="M166" s="37">
        <v>10680.95</v>
      </c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:39">
      <c r="A167">
        <v>6820</v>
      </c>
      <c r="B167" s="108" t="s">
        <v>624</v>
      </c>
      <c r="C167" s="106">
        <v>0</v>
      </c>
      <c r="D167" s="106">
        <v>13155</v>
      </c>
      <c r="E167" s="117">
        <v>13155</v>
      </c>
      <c r="I167">
        <v>6820</v>
      </c>
      <c r="J167" s="108" t="s">
        <v>624</v>
      </c>
      <c r="K167" s="23">
        <v>0</v>
      </c>
      <c r="L167" s="23">
        <v>15511</v>
      </c>
      <c r="M167" s="37">
        <v>15511</v>
      </c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:39">
      <c r="A168">
        <v>6840</v>
      </c>
      <c r="B168" s="108" t="s">
        <v>625</v>
      </c>
      <c r="C168" s="106">
        <v>0</v>
      </c>
      <c r="D168" s="106">
        <v>1238</v>
      </c>
      <c r="E168" s="117">
        <v>1238</v>
      </c>
      <c r="I168">
        <v>6840</v>
      </c>
      <c r="J168" s="108" t="s">
        <v>625</v>
      </c>
      <c r="K168" s="23">
        <v>0</v>
      </c>
      <c r="L168" s="23">
        <v>2193</v>
      </c>
      <c r="M168" s="37">
        <v>2193</v>
      </c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:39">
      <c r="A169">
        <v>6860</v>
      </c>
      <c r="B169" s="108" t="s">
        <v>626</v>
      </c>
      <c r="C169" s="106">
        <v>0</v>
      </c>
      <c r="D169" s="106">
        <v>37115</v>
      </c>
      <c r="E169" s="117">
        <v>37115</v>
      </c>
      <c r="I169">
        <v>6860</v>
      </c>
      <c r="J169" s="108" t="s">
        <v>626</v>
      </c>
      <c r="K169" s="23">
        <v>0</v>
      </c>
      <c r="L169" s="23">
        <v>45748.11</v>
      </c>
      <c r="M169" s="37">
        <v>45748.11</v>
      </c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:39">
      <c r="A170">
        <v>6900</v>
      </c>
      <c r="B170" s="108" t="s">
        <v>297</v>
      </c>
      <c r="C170" s="106">
        <v>0</v>
      </c>
      <c r="D170" s="106">
        <v>220.62</v>
      </c>
      <c r="E170" s="117">
        <v>220.62</v>
      </c>
      <c r="I170">
        <v>6900</v>
      </c>
      <c r="J170" s="108" t="s">
        <v>297</v>
      </c>
      <c r="K170" s="23">
        <v>0</v>
      </c>
      <c r="L170" s="23">
        <v>9577.2099999999991</v>
      </c>
      <c r="M170" s="37">
        <v>9577.2099999999991</v>
      </c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:39">
      <c r="A171">
        <v>6940</v>
      </c>
      <c r="B171" s="108" t="s">
        <v>299</v>
      </c>
      <c r="C171" s="106">
        <v>0</v>
      </c>
      <c r="D171" s="106">
        <v>962.5</v>
      </c>
      <c r="E171" s="117">
        <v>962.5</v>
      </c>
      <c r="I171">
        <v>6940</v>
      </c>
      <c r="J171" s="108" t="s">
        <v>299</v>
      </c>
      <c r="K171" s="23">
        <v>0</v>
      </c>
      <c r="L171" s="23">
        <v>812.5</v>
      </c>
      <c r="M171" s="37">
        <v>812.5</v>
      </c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:39">
      <c r="A172">
        <v>7100</v>
      </c>
      <c r="B172" s="108" t="s">
        <v>627</v>
      </c>
      <c r="C172" s="106">
        <v>0</v>
      </c>
      <c r="D172" s="106">
        <v>35357.050000000003</v>
      </c>
      <c r="E172" s="117">
        <v>35357.050000000003</v>
      </c>
      <c r="I172">
        <v>7100</v>
      </c>
      <c r="J172" s="108" t="s">
        <v>627</v>
      </c>
      <c r="K172" s="23">
        <v>0</v>
      </c>
      <c r="L172" s="23">
        <v>28983.55</v>
      </c>
      <c r="M172" s="37">
        <v>28983.55</v>
      </c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:39">
      <c r="A173">
        <v>7110</v>
      </c>
      <c r="B173" s="108" t="s">
        <v>309</v>
      </c>
      <c r="C173" s="106">
        <v>0</v>
      </c>
      <c r="D173" s="106">
        <v>4359</v>
      </c>
      <c r="E173" s="117">
        <v>4359</v>
      </c>
      <c r="I173">
        <v>7110</v>
      </c>
      <c r="J173" s="108" t="s">
        <v>309</v>
      </c>
      <c r="K173" s="23">
        <v>0</v>
      </c>
      <c r="L173" s="23">
        <v>343</v>
      </c>
      <c r="M173" s="37">
        <v>343</v>
      </c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:39">
      <c r="A174">
        <v>7140</v>
      </c>
      <c r="B174" s="108" t="s">
        <v>709</v>
      </c>
      <c r="E174" s="117"/>
      <c r="I174">
        <v>7140</v>
      </c>
      <c r="J174" s="108" t="s">
        <v>709</v>
      </c>
      <c r="K174" s="23">
        <v>0</v>
      </c>
      <c r="L174" s="23">
        <v>21436.21</v>
      </c>
      <c r="M174" s="37">
        <v>21436.21</v>
      </c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:39">
      <c r="A175">
        <v>7150</v>
      </c>
      <c r="B175" s="108" t="s">
        <v>710</v>
      </c>
      <c r="E175" s="117"/>
      <c r="I175">
        <v>7150</v>
      </c>
      <c r="J175" s="108" t="s">
        <v>710</v>
      </c>
      <c r="K175" s="23">
        <v>0</v>
      </c>
      <c r="L175" s="23">
        <v>169</v>
      </c>
      <c r="M175" s="37">
        <v>169</v>
      </c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:39">
      <c r="A176">
        <v>7160</v>
      </c>
      <c r="B176" s="108" t="s">
        <v>311</v>
      </c>
      <c r="C176" s="106">
        <v>0</v>
      </c>
      <c r="D176" s="106">
        <v>276834.87</v>
      </c>
      <c r="E176" s="117">
        <v>276834.87</v>
      </c>
      <c r="I176">
        <v>7160</v>
      </c>
      <c r="J176" s="108" t="s">
        <v>311</v>
      </c>
      <c r="K176" s="23">
        <v>0</v>
      </c>
      <c r="L176" s="23">
        <v>352.5</v>
      </c>
      <c r="M176" s="37">
        <v>352.5</v>
      </c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:39">
      <c r="A177">
        <v>7170</v>
      </c>
      <c r="B177" s="108" t="s">
        <v>313</v>
      </c>
      <c r="C177" s="106">
        <v>0</v>
      </c>
      <c r="D177" s="106">
        <v>229470.89</v>
      </c>
      <c r="E177" s="117">
        <v>229470.89</v>
      </c>
      <c r="I177">
        <v>7170</v>
      </c>
      <c r="J177" s="108" t="s">
        <v>313</v>
      </c>
      <c r="K177" s="23">
        <v>0</v>
      </c>
      <c r="L177" s="23">
        <v>45123</v>
      </c>
      <c r="M177" s="37">
        <v>45123</v>
      </c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:39">
      <c r="A178">
        <v>7180</v>
      </c>
      <c r="B178" s="108" t="s">
        <v>315</v>
      </c>
      <c r="C178" s="106">
        <v>0</v>
      </c>
      <c r="D178" s="106">
        <v>165790.48000000001</v>
      </c>
      <c r="E178" s="117">
        <v>165790.48000000001</v>
      </c>
      <c r="I178">
        <v>7180</v>
      </c>
      <c r="J178" s="108" t="s">
        <v>315</v>
      </c>
      <c r="K178" s="23"/>
      <c r="L178" s="23"/>
      <c r="M178" s="37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:39">
      <c r="A179">
        <v>7190</v>
      </c>
      <c r="B179" s="108" t="s">
        <v>628</v>
      </c>
      <c r="C179" s="106">
        <v>0</v>
      </c>
      <c r="D179" s="106">
        <v>1425</v>
      </c>
      <c r="E179" s="117">
        <v>1425</v>
      </c>
      <c r="I179">
        <v>7190</v>
      </c>
      <c r="J179" s="108" t="s">
        <v>628</v>
      </c>
      <c r="K179" s="23"/>
      <c r="L179" s="23"/>
      <c r="M179" s="37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:39">
      <c r="A180">
        <v>7300</v>
      </c>
      <c r="B180" s="108" t="s">
        <v>711</v>
      </c>
      <c r="E180" s="117"/>
      <c r="I180">
        <v>7300</v>
      </c>
      <c r="J180" s="108" t="s">
        <v>711</v>
      </c>
      <c r="K180" s="23">
        <v>0</v>
      </c>
      <c r="L180" s="23">
        <v>95.32</v>
      </c>
      <c r="M180" s="37">
        <v>95.32</v>
      </c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:39">
      <c r="A181">
        <v>7320</v>
      </c>
      <c r="B181" s="108" t="s">
        <v>629</v>
      </c>
      <c r="C181" s="106">
        <v>0</v>
      </c>
      <c r="D181" s="106">
        <v>47850.5</v>
      </c>
      <c r="E181" s="117">
        <v>47850.5</v>
      </c>
      <c r="I181">
        <v>7320</v>
      </c>
      <c r="J181" s="108" t="s">
        <v>629</v>
      </c>
      <c r="K181" s="23">
        <v>0</v>
      </c>
      <c r="L181" s="23">
        <v>6886.5</v>
      </c>
      <c r="M181" s="37">
        <v>6886.5</v>
      </c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:39">
      <c r="A182">
        <v>7350</v>
      </c>
      <c r="B182" s="108" t="s">
        <v>630</v>
      </c>
      <c r="C182" s="106">
        <v>0</v>
      </c>
      <c r="D182" s="106">
        <v>712.17</v>
      </c>
      <c r="E182" s="117">
        <v>712.17</v>
      </c>
      <c r="I182">
        <v>7350</v>
      </c>
      <c r="J182" s="108" t="s">
        <v>630</v>
      </c>
      <c r="K182" s="23"/>
      <c r="L182" s="23"/>
      <c r="M182" s="37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:39">
      <c r="A183">
        <v>7360</v>
      </c>
      <c r="B183" s="108" t="s">
        <v>631</v>
      </c>
      <c r="C183" s="106">
        <v>0</v>
      </c>
      <c r="D183" s="106">
        <v>75995</v>
      </c>
      <c r="E183" s="117">
        <v>75995</v>
      </c>
      <c r="I183">
        <v>7360</v>
      </c>
      <c r="J183" s="108" t="s">
        <v>631</v>
      </c>
      <c r="K183" s="23"/>
      <c r="L183" s="23"/>
      <c r="M183" s="37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:39">
      <c r="A184">
        <v>7400</v>
      </c>
      <c r="B184" s="108" t="s">
        <v>712</v>
      </c>
      <c r="E184" s="117"/>
      <c r="I184">
        <v>7400</v>
      </c>
      <c r="J184" s="108" t="s">
        <v>712</v>
      </c>
      <c r="K184" s="23">
        <v>0</v>
      </c>
      <c r="L184" s="23">
        <v>2400</v>
      </c>
      <c r="M184" s="37">
        <v>2400</v>
      </c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:39">
      <c r="A185">
        <v>7410</v>
      </c>
      <c r="B185" s="108" t="s">
        <v>323</v>
      </c>
      <c r="C185" s="106">
        <v>0</v>
      </c>
      <c r="D185" s="106">
        <v>625223.06999999995</v>
      </c>
      <c r="E185" s="117">
        <v>625223.06999999995</v>
      </c>
      <c r="I185">
        <v>7410</v>
      </c>
      <c r="J185" s="108" t="s">
        <v>323</v>
      </c>
      <c r="K185" s="23"/>
      <c r="L185" s="23"/>
      <c r="M185" s="37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:39">
      <c r="A186">
        <v>7420</v>
      </c>
      <c r="B186" s="108" t="s">
        <v>632</v>
      </c>
      <c r="C186" s="106">
        <v>0</v>
      </c>
      <c r="D186" s="106">
        <v>20089.560000000001</v>
      </c>
      <c r="E186" s="117">
        <v>20089.560000000001</v>
      </c>
      <c r="I186">
        <v>7420</v>
      </c>
      <c r="J186" s="108" t="s">
        <v>632</v>
      </c>
      <c r="K186" s="23">
        <v>0</v>
      </c>
      <c r="L186" s="23">
        <v>3563.7</v>
      </c>
      <c r="M186" s="37">
        <v>3563.7</v>
      </c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:39">
      <c r="A187">
        <v>7421</v>
      </c>
      <c r="B187" s="108" t="s">
        <v>786</v>
      </c>
      <c r="E187" s="117"/>
      <c r="I187">
        <v>7421</v>
      </c>
      <c r="J187" s="108" t="s">
        <v>786</v>
      </c>
      <c r="K187" s="23">
        <v>0</v>
      </c>
      <c r="L187" s="23">
        <v>0</v>
      </c>
      <c r="M187" s="37">
        <v>0</v>
      </c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:39">
      <c r="A188">
        <v>7430</v>
      </c>
      <c r="B188" s="108" t="s">
        <v>633</v>
      </c>
      <c r="C188" s="106">
        <v>0</v>
      </c>
      <c r="D188" s="106">
        <v>543.29999999999995</v>
      </c>
      <c r="E188" s="117">
        <v>543.29999999999995</v>
      </c>
      <c r="I188">
        <v>7430</v>
      </c>
      <c r="J188" s="108" t="s">
        <v>633</v>
      </c>
      <c r="K188" s="23">
        <v>0</v>
      </c>
      <c r="L188" s="23">
        <v>1815</v>
      </c>
      <c r="M188" s="37">
        <v>1815</v>
      </c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:39">
      <c r="A189">
        <v>7500</v>
      </c>
      <c r="B189" s="108" t="s">
        <v>634</v>
      </c>
      <c r="C189" s="106">
        <v>0</v>
      </c>
      <c r="D189" s="106">
        <v>57957</v>
      </c>
      <c r="E189" s="117">
        <v>57957</v>
      </c>
      <c r="I189">
        <v>7500</v>
      </c>
      <c r="J189" s="108" t="s">
        <v>634</v>
      </c>
      <c r="K189" s="23">
        <v>0</v>
      </c>
      <c r="L189" s="23">
        <v>107906</v>
      </c>
      <c r="M189" s="37">
        <v>107906</v>
      </c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:39">
      <c r="A190">
        <v>7510</v>
      </c>
      <c r="B190" s="108" t="s">
        <v>333</v>
      </c>
      <c r="C190" s="106">
        <v>0</v>
      </c>
      <c r="D190" s="106">
        <v>64200</v>
      </c>
      <c r="E190" s="117">
        <v>64200</v>
      </c>
      <c r="I190">
        <v>7510</v>
      </c>
      <c r="J190" s="108" t="s">
        <v>333</v>
      </c>
      <c r="K190" s="23"/>
      <c r="L190" s="23"/>
      <c r="M190" s="37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:39">
      <c r="A191">
        <v>7700</v>
      </c>
      <c r="B191" s="108" t="s">
        <v>635</v>
      </c>
      <c r="C191" s="106">
        <v>0</v>
      </c>
      <c r="D191" s="106">
        <v>18592.91</v>
      </c>
      <c r="E191" s="117">
        <v>18592.91</v>
      </c>
      <c r="I191">
        <v>7700</v>
      </c>
      <c r="J191" s="108" t="s">
        <v>635</v>
      </c>
      <c r="K191" s="23">
        <v>0</v>
      </c>
      <c r="L191" s="23">
        <v>28040.79</v>
      </c>
      <c r="M191" s="37">
        <v>28040.79</v>
      </c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:39">
      <c r="A192">
        <v>7720</v>
      </c>
      <c r="B192" s="108" t="s">
        <v>335</v>
      </c>
      <c r="C192" s="106">
        <v>0</v>
      </c>
      <c r="D192" s="106">
        <v>281363.63</v>
      </c>
      <c r="E192" s="117">
        <v>281363.63</v>
      </c>
      <c r="I192">
        <v>7720</v>
      </c>
      <c r="J192" s="108" t="s">
        <v>335</v>
      </c>
      <c r="K192" s="23"/>
      <c r="L192" s="23"/>
      <c r="M192" s="37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:39">
      <c r="A193">
        <v>7740</v>
      </c>
      <c r="B193" s="108" t="s">
        <v>636</v>
      </c>
      <c r="C193" s="106">
        <v>0</v>
      </c>
      <c r="D193" s="106">
        <v>-3.03</v>
      </c>
      <c r="E193" s="117">
        <v>-3.03</v>
      </c>
      <c r="I193">
        <v>7740</v>
      </c>
      <c r="J193" s="108" t="s">
        <v>636</v>
      </c>
      <c r="K193" s="23">
        <v>0</v>
      </c>
      <c r="L193" s="23">
        <v>0.82</v>
      </c>
      <c r="M193" s="37">
        <v>0.82</v>
      </c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:39">
      <c r="A194">
        <v>7770</v>
      </c>
      <c r="B194" s="108" t="s">
        <v>637</v>
      </c>
      <c r="C194" s="106">
        <v>0</v>
      </c>
      <c r="D194" s="106">
        <v>21158.11</v>
      </c>
      <c r="E194" s="117">
        <v>21158.11</v>
      </c>
      <c r="I194">
        <v>7770</v>
      </c>
      <c r="J194" s="108" t="s">
        <v>637</v>
      </c>
      <c r="K194" s="23">
        <v>0</v>
      </c>
      <c r="L194" s="23">
        <v>14598.59</v>
      </c>
      <c r="M194" s="37">
        <v>14598.59</v>
      </c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:39">
      <c r="A195">
        <v>7790</v>
      </c>
      <c r="B195" s="108" t="s">
        <v>638</v>
      </c>
      <c r="C195" s="106">
        <v>0</v>
      </c>
      <c r="D195" s="106">
        <v>51095.519999999997</v>
      </c>
      <c r="E195" s="117">
        <v>51095.519999999997</v>
      </c>
      <c r="I195">
        <v>7790</v>
      </c>
      <c r="J195" s="108" t="s">
        <v>638</v>
      </c>
      <c r="K195" s="23">
        <v>0</v>
      </c>
      <c r="L195" s="23">
        <v>23453.25</v>
      </c>
      <c r="M195" s="37">
        <v>23453.25</v>
      </c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:39">
      <c r="A196">
        <v>7792</v>
      </c>
      <c r="B196" s="108" t="s">
        <v>343</v>
      </c>
      <c r="C196" s="106">
        <v>0</v>
      </c>
      <c r="D196" s="106">
        <v>18267.02</v>
      </c>
      <c r="E196" s="117">
        <v>18267.02</v>
      </c>
      <c r="I196">
        <v>7792</v>
      </c>
      <c r="J196" s="108" t="s">
        <v>343</v>
      </c>
      <c r="K196" s="23">
        <v>0</v>
      </c>
      <c r="L196" s="23">
        <v>-9243.84</v>
      </c>
      <c r="M196" s="37">
        <f>-9243.84-0.17</f>
        <v>-9244.01</v>
      </c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:39">
      <c r="A197">
        <v>7830</v>
      </c>
      <c r="B197" s="108" t="s">
        <v>639</v>
      </c>
      <c r="C197" s="106">
        <v>0</v>
      </c>
      <c r="D197" s="106">
        <v>0</v>
      </c>
      <c r="E197" s="117">
        <v>0</v>
      </c>
      <c r="I197">
        <v>7830</v>
      </c>
      <c r="J197" s="108" t="s">
        <v>639</v>
      </c>
      <c r="K197" s="23"/>
      <c r="L197" s="23"/>
      <c r="M197" s="37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:39">
      <c r="A198">
        <v>7831</v>
      </c>
      <c r="B198" s="132" t="s">
        <v>713</v>
      </c>
      <c r="E198" s="117">
        <v>0</v>
      </c>
      <c r="I198">
        <v>7831</v>
      </c>
      <c r="J198" s="132" t="s">
        <v>713</v>
      </c>
      <c r="K198" s="23">
        <v>0</v>
      </c>
      <c r="L198" s="23">
        <v>80793.22</v>
      </c>
      <c r="M198" s="37">
        <f>L198</f>
        <v>80793.22</v>
      </c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:39">
      <c r="A199">
        <v>0</v>
      </c>
      <c r="B199" s="108" t="s">
        <v>655</v>
      </c>
      <c r="C199" s="106">
        <v>0</v>
      </c>
      <c r="D199" s="106">
        <v>1996282.05</v>
      </c>
      <c r="E199" s="117">
        <f>SUM(E151:E197)</f>
        <v>3147478.82</v>
      </c>
      <c r="F199" s="118">
        <f>SUM(E151:E197)</f>
        <v>3147478.82</v>
      </c>
      <c r="I199">
        <v>0</v>
      </c>
      <c r="J199" s="108" t="s">
        <v>655</v>
      </c>
      <c r="K199" s="23"/>
      <c r="L199" s="23"/>
      <c r="M199" s="37">
        <f>SUM(M151:M198)</f>
        <v>1098239.8599999999</v>
      </c>
      <c r="N199" s="37">
        <f>M199</f>
        <v>1098239.8599999999</v>
      </c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:39">
      <c r="A200">
        <v>0</v>
      </c>
      <c r="B200" s="108"/>
      <c r="C200" s="106">
        <v>0</v>
      </c>
      <c r="D200" s="106">
        <v>0</v>
      </c>
      <c r="E200" s="106">
        <v>0</v>
      </c>
      <c r="J200" s="108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:39">
      <c r="A201">
        <v>8050</v>
      </c>
      <c r="B201" s="108" t="s">
        <v>640</v>
      </c>
      <c r="C201" s="106">
        <v>0</v>
      </c>
      <c r="D201" s="106">
        <v>-49255.01</v>
      </c>
      <c r="E201" s="119">
        <v>-49255.01</v>
      </c>
      <c r="I201">
        <v>8050</v>
      </c>
      <c r="J201" s="108" t="s">
        <v>640</v>
      </c>
      <c r="K201" s="23">
        <v>0</v>
      </c>
      <c r="L201" s="23">
        <v>-35225.019999999997</v>
      </c>
      <c r="M201" s="35">
        <v>-35225.019999999997</v>
      </c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:39">
      <c r="A202">
        <v>8070</v>
      </c>
      <c r="B202" s="108" t="s">
        <v>389</v>
      </c>
      <c r="C202" s="106">
        <v>0</v>
      </c>
      <c r="D202" s="106">
        <v>-5219.1400000000003</v>
      </c>
      <c r="E202" s="119">
        <v>-5219.1400000000003</v>
      </c>
      <c r="F202" s="120">
        <f>SUM(E201:E202)</f>
        <v>-54474.15</v>
      </c>
      <c r="I202">
        <v>8070</v>
      </c>
      <c r="J202" s="108" t="s">
        <v>389</v>
      </c>
      <c r="K202" s="23"/>
      <c r="L202" s="23"/>
      <c r="M202" s="35"/>
      <c r="N202" s="35">
        <f>SUM(M201:M202)</f>
        <v>-35225.019999999997</v>
      </c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:39">
      <c r="A203">
        <v>8153</v>
      </c>
      <c r="B203" s="108" t="s">
        <v>641</v>
      </c>
      <c r="C203" s="106">
        <v>0</v>
      </c>
      <c r="D203" s="106">
        <v>1744.68</v>
      </c>
      <c r="E203" s="128">
        <v>1744.68</v>
      </c>
      <c r="F203" s="129">
        <f>E203</f>
        <v>1744.68</v>
      </c>
      <c r="G203" s="109">
        <f>SUM(F124:F203)</f>
        <v>5017784.4699999988</v>
      </c>
      <c r="H203" s="109">
        <f>SUM(G115:G203)</f>
        <v>171366.91999999899</v>
      </c>
      <c r="I203">
        <v>8153</v>
      </c>
      <c r="J203" s="108" t="s">
        <v>641</v>
      </c>
      <c r="K203" s="23">
        <v>0</v>
      </c>
      <c r="L203" s="23">
        <v>1198.5999999999999</v>
      </c>
      <c r="M203" s="43">
        <v>1198.5999999999999</v>
      </c>
      <c r="N203" s="43">
        <f>M203</f>
        <v>1198.5999999999999</v>
      </c>
      <c r="O203" s="23">
        <f>SUM(N130:N203)</f>
        <v>5338054.8199999984</v>
      </c>
      <c r="P203" s="23">
        <f>SUM(O115:O203)</f>
        <v>507525.68999999762</v>
      </c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:39">
      <c r="A204">
        <v>0</v>
      </c>
      <c r="B204" s="108" t="s">
        <v>642</v>
      </c>
      <c r="C204" s="106">
        <v>0</v>
      </c>
      <c r="D204" s="106">
        <v>-52729.47</v>
      </c>
      <c r="E204" s="106">
        <v>-52729.47</v>
      </c>
      <c r="I204">
        <v>0</v>
      </c>
      <c r="J204" s="108" t="s">
        <v>642</v>
      </c>
      <c r="K204" s="23">
        <v>0</v>
      </c>
      <c r="L204" s="23">
        <v>0</v>
      </c>
      <c r="M204" s="23">
        <f>SUM(M201:M203)</f>
        <v>-34026.42</v>
      </c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:39"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:39">
      <c r="B206" s="108" t="s">
        <v>643</v>
      </c>
      <c r="D206" s="106">
        <f>H203</f>
        <v>171366.91999999899</v>
      </c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:39"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:39"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1:39"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1:39"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1:39"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1:39"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1:39"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1:39"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1:39"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1:39"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1:39"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1:39"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1:39"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1:39"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1:39"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1:39"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1:39"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1:39"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6"/>
  <sheetViews>
    <sheetView topLeftCell="A28" workbookViewId="0">
      <selection activeCell="A28" sqref="A1:XFD1048576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4" ht="23.4">
      <c r="A1" s="2" t="s">
        <v>644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101" t="s">
        <v>376</v>
      </c>
      <c r="C6" s="375" t="s">
        <v>377</v>
      </c>
      <c r="D6" s="375"/>
    </row>
    <row r="7" spans="1:4">
      <c r="B7" s="101"/>
      <c r="C7" s="101" t="s">
        <v>645</v>
      </c>
      <c r="D7" s="101" t="s">
        <v>378</v>
      </c>
    </row>
    <row r="8" spans="1:4">
      <c r="A8" s="3" t="s">
        <v>379</v>
      </c>
      <c r="B8" s="101" t="s">
        <v>374</v>
      </c>
    </row>
    <row r="9" spans="1:4">
      <c r="A9" t="s">
        <v>423</v>
      </c>
      <c r="B9" s="101"/>
      <c r="C9" s="7">
        <f>'Saldobalanse 2014'!F94*-1</f>
        <v>532597.46</v>
      </c>
      <c r="D9" s="7">
        <v>643200</v>
      </c>
    </row>
    <row r="10" spans="1:4">
      <c r="A10" t="s">
        <v>424</v>
      </c>
      <c r="B10" s="101"/>
      <c r="C10" s="7">
        <f>'Saldobalanse 2014'!F105*-1</f>
        <v>1537878.4</v>
      </c>
      <c r="D10" s="7">
        <v>1438668.65</v>
      </c>
    </row>
    <row r="11" spans="1:4">
      <c r="A11" t="s">
        <v>425</v>
      </c>
      <c r="B11" s="101"/>
      <c r="C11" s="7">
        <f>'Saldobalanse 2014'!F100*-1</f>
        <v>182263.75</v>
      </c>
      <c r="D11" s="7">
        <v>183037.75</v>
      </c>
    </row>
    <row r="12" spans="1:4">
      <c r="A12" t="s">
        <v>220</v>
      </c>
      <c r="B12" s="101"/>
      <c r="C12" s="8">
        <f>'Saldobalanse 2014'!F110*-1</f>
        <v>2593677.94</v>
      </c>
      <c r="D12" s="8">
        <v>2036972.6400000001</v>
      </c>
    </row>
    <row r="13" spans="1:4">
      <c r="A13" s="3" t="s">
        <v>381</v>
      </c>
      <c r="B13" s="101"/>
      <c r="C13" s="9">
        <f>SUM(C9:C12)</f>
        <v>4846417.55</v>
      </c>
      <c r="D13" s="9">
        <v>4301879.04</v>
      </c>
    </row>
    <row r="14" spans="1:4">
      <c r="B14" s="101"/>
      <c r="C14" s="7"/>
      <c r="D14" s="7"/>
    </row>
    <row r="15" spans="1:4">
      <c r="A15" s="3" t="s">
        <v>382</v>
      </c>
      <c r="B15" s="101"/>
      <c r="C15" s="7"/>
      <c r="D15" s="7"/>
    </row>
    <row r="16" spans="1:4">
      <c r="A16" t="s">
        <v>383</v>
      </c>
      <c r="B16" s="101" t="s">
        <v>374</v>
      </c>
      <c r="C16" s="7">
        <f>'Saldobalanse 2014'!F114</f>
        <v>347854.61</v>
      </c>
      <c r="D16" s="7">
        <v>194847.32</v>
      </c>
    </row>
    <row r="17" spans="1:4">
      <c r="A17" t="s">
        <v>384</v>
      </c>
      <c r="B17" s="101" t="s">
        <v>374</v>
      </c>
      <c r="C17" s="7">
        <f>'Saldobalanse 2014'!F130</f>
        <v>1476744.5099999998</v>
      </c>
      <c r="D17" s="7">
        <v>761696.44</v>
      </c>
    </row>
    <row r="18" spans="1:4">
      <c r="A18" t="s">
        <v>385</v>
      </c>
      <c r="B18" s="101"/>
      <c r="C18" s="8">
        <f>'Saldobalanse 2014'!F177</f>
        <v>3245914.82</v>
      </c>
      <c r="D18" s="8">
        <v>3823346.850000001</v>
      </c>
    </row>
    <row r="19" spans="1:4">
      <c r="A19" s="3" t="s">
        <v>386</v>
      </c>
      <c r="B19" s="101"/>
      <c r="C19" s="9">
        <f>SUM(C16:C18)</f>
        <v>5070513.9399999995</v>
      </c>
      <c r="D19" s="9">
        <v>4779890.6100000013</v>
      </c>
    </row>
    <row r="20" spans="1:4">
      <c r="B20" s="101"/>
      <c r="C20" s="7"/>
      <c r="D20" s="7"/>
    </row>
    <row r="21" spans="1:4">
      <c r="A21" s="3" t="s">
        <v>387</v>
      </c>
      <c r="B21" s="101"/>
      <c r="C21" s="9">
        <f>C13-C19</f>
        <v>-224096.38999999966</v>
      </c>
      <c r="D21" s="9">
        <v>-478011.57000000123</v>
      </c>
    </row>
    <row r="22" spans="1:4">
      <c r="B22" s="101"/>
      <c r="C22" s="7"/>
      <c r="D22" s="7"/>
    </row>
    <row r="23" spans="1:4">
      <c r="A23" s="3" t="s">
        <v>388</v>
      </c>
      <c r="B23" s="101"/>
      <c r="C23" s="7"/>
      <c r="D23" s="7"/>
    </row>
    <row r="24" spans="1:4">
      <c r="A24" t="s">
        <v>389</v>
      </c>
      <c r="B24" s="101"/>
      <c r="C24" s="7">
        <f>'Saldobalanse 2014'!F181*-1</f>
        <v>54474.15</v>
      </c>
      <c r="D24" s="7">
        <v>52557.280000000006</v>
      </c>
    </row>
    <row r="25" spans="1:4">
      <c r="A25" t="s">
        <v>390</v>
      </c>
      <c r="B25" s="101"/>
      <c r="C25" s="8">
        <f>'Saldobalanse 2014'!E182</f>
        <v>1744.68</v>
      </c>
      <c r="D25" s="8">
        <v>1773.7900000000002</v>
      </c>
    </row>
    <row r="26" spans="1:4">
      <c r="A26" s="3" t="s">
        <v>391</v>
      </c>
      <c r="B26" s="101"/>
      <c r="C26" s="9">
        <f>C24-C25</f>
        <v>52729.47</v>
      </c>
      <c r="D26" s="9">
        <v>50783.490000000005</v>
      </c>
    </row>
    <row r="27" spans="1:4">
      <c r="A27" s="3"/>
      <c r="B27" s="101"/>
      <c r="C27" s="9"/>
      <c r="D27" s="9"/>
    </row>
    <row r="28" spans="1:4">
      <c r="A28" s="3" t="s">
        <v>392</v>
      </c>
      <c r="B28" s="101"/>
      <c r="C28" s="9">
        <f>C21+C26</f>
        <v>-171366.91999999966</v>
      </c>
      <c r="D28" s="9">
        <v>-427228.08000000124</v>
      </c>
    </row>
    <row r="29" spans="1:4">
      <c r="B29" s="101"/>
      <c r="C29" s="7"/>
      <c r="D29" s="7"/>
    </row>
    <row r="30" spans="1:4">
      <c r="A30" s="3" t="s">
        <v>393</v>
      </c>
      <c r="B30" s="101"/>
      <c r="C30" s="7"/>
      <c r="D30" s="7"/>
    </row>
    <row r="31" spans="1:4">
      <c r="A31" t="s">
        <v>394</v>
      </c>
      <c r="B31" s="101"/>
      <c r="C31" s="8">
        <f>C28</f>
        <v>-171366.91999999966</v>
      </c>
      <c r="D31" s="8">
        <v>-427228.08000000124</v>
      </c>
    </row>
    <row r="32" spans="1:4">
      <c r="A32" s="3" t="s">
        <v>395</v>
      </c>
      <c r="B32" s="101"/>
      <c r="C32" s="9">
        <f>SUM(C31)</f>
        <v>-171366.91999999966</v>
      </c>
      <c r="D32" s="9">
        <v>-427228.08000000124</v>
      </c>
    </row>
    <row r="33" spans="1:4">
      <c r="B33" s="101"/>
      <c r="C33" s="7"/>
      <c r="D33" s="7"/>
    </row>
    <row r="34" spans="1:4">
      <c r="B34" s="101"/>
      <c r="C34" s="7"/>
      <c r="D34" s="7"/>
    </row>
    <row r="35" spans="1:4">
      <c r="B35" s="101"/>
      <c r="C35" s="7"/>
      <c r="D35" s="7"/>
    </row>
    <row r="36" spans="1:4" ht="23.4">
      <c r="A36" s="2" t="s">
        <v>646</v>
      </c>
      <c r="B36" s="101"/>
    </row>
    <row r="37" spans="1:4" s="4" customFormat="1">
      <c r="B37" s="101"/>
    </row>
    <row r="38" spans="1:4" s="4" customFormat="1">
      <c r="B38" s="101"/>
      <c r="C38" s="375" t="s">
        <v>396</v>
      </c>
      <c r="D38" s="375"/>
    </row>
    <row r="39" spans="1:4">
      <c r="B39" s="101" t="s">
        <v>376</v>
      </c>
      <c r="C39" s="101" t="s">
        <v>645</v>
      </c>
      <c r="D39" s="101" t="s">
        <v>378</v>
      </c>
    </row>
    <row r="40" spans="1:4">
      <c r="A40" s="3" t="s">
        <v>397</v>
      </c>
      <c r="B40" s="101"/>
    </row>
    <row r="41" spans="1:4">
      <c r="A41" s="3" t="s">
        <v>398</v>
      </c>
      <c r="B41" s="101"/>
      <c r="C41" s="17"/>
      <c r="D41" s="17"/>
    </row>
    <row r="42" spans="1:4" s="16" customFormat="1">
      <c r="A42" s="15" t="s">
        <v>428</v>
      </c>
      <c r="B42" s="101" t="s">
        <v>521</v>
      </c>
      <c r="C42" s="20">
        <f>'Saldobalanse 2014'!F3</f>
        <v>94379.58</v>
      </c>
      <c r="D42" s="21">
        <v>141569.58000000002</v>
      </c>
    </row>
    <row r="43" spans="1:4">
      <c r="A43" s="10" t="s">
        <v>399</v>
      </c>
      <c r="B43" s="101" t="s">
        <v>522</v>
      </c>
      <c r="C43" s="7">
        <f>'Saldobalanse 2014'!F6</f>
        <v>1379295.8</v>
      </c>
      <c r="D43" s="19">
        <v>1405871.8</v>
      </c>
    </row>
    <row r="44" spans="1:4">
      <c r="A44" s="10" t="s">
        <v>429</v>
      </c>
      <c r="B44" s="101" t="s">
        <v>405</v>
      </c>
      <c r="C44" s="8">
        <f>'Saldobalanse 2014'!F8</f>
        <v>7665.83</v>
      </c>
      <c r="D44" s="8">
        <v>32335.83</v>
      </c>
    </row>
    <row r="45" spans="1:4">
      <c r="A45" s="3" t="s">
        <v>400</v>
      </c>
      <c r="B45" s="101"/>
      <c r="C45" s="9">
        <f>SUM(C42:C44)</f>
        <v>1481341.2100000002</v>
      </c>
      <c r="D45" s="9">
        <f>SUM(D42:D44)</f>
        <v>1579777.2100000002</v>
      </c>
    </row>
    <row r="46" spans="1:4">
      <c r="B46" s="101"/>
      <c r="C46" s="7"/>
      <c r="D46" s="7"/>
    </row>
    <row r="47" spans="1:4">
      <c r="A47" s="3" t="s">
        <v>401</v>
      </c>
      <c r="B47" s="101"/>
      <c r="D47" s="7"/>
    </row>
    <row r="48" spans="1:4">
      <c r="A48" t="s">
        <v>402</v>
      </c>
      <c r="B48" s="101" t="s">
        <v>380</v>
      </c>
      <c r="C48" s="7">
        <f>'Saldobalanse 2014'!F9</f>
        <v>67310.5</v>
      </c>
      <c r="D48" s="7">
        <v>67310.5</v>
      </c>
    </row>
    <row r="49" spans="1:4">
      <c r="A49" t="s">
        <v>22</v>
      </c>
      <c r="B49" s="101" t="s">
        <v>380</v>
      </c>
      <c r="C49" s="7">
        <f>'Saldobalanse 2014'!F10</f>
        <v>124704</v>
      </c>
      <c r="D49" s="7">
        <v>30160.540000000008</v>
      </c>
    </row>
    <row r="50" spans="1:4">
      <c r="A50" t="s">
        <v>403</v>
      </c>
      <c r="B50" s="101" t="s">
        <v>380</v>
      </c>
      <c r="C50" s="7">
        <f>'Saldobalanse 2014'!F17</f>
        <v>63123.97</v>
      </c>
      <c r="D50" s="7">
        <v>201225.22</v>
      </c>
    </row>
    <row r="51" spans="1:4">
      <c r="A51" s="16" t="s">
        <v>430</v>
      </c>
      <c r="B51" s="101" t="s">
        <v>374</v>
      </c>
      <c r="C51" s="7">
        <f>'Saldobalanse 2014'!E18</f>
        <v>0</v>
      </c>
      <c r="D51" s="7">
        <v>287024.29000000004</v>
      </c>
    </row>
    <row r="52" spans="1:4">
      <c r="A52" t="s">
        <v>404</v>
      </c>
      <c r="B52" s="101" t="s">
        <v>409</v>
      </c>
      <c r="C52" s="8">
        <f>'Saldobalanse 2014'!F30</f>
        <v>1872155.7599999998</v>
      </c>
      <c r="D52" s="8">
        <v>2012088.03</v>
      </c>
    </row>
    <row r="53" spans="1:4">
      <c r="A53" s="3" t="s">
        <v>406</v>
      </c>
      <c r="B53" s="101"/>
      <c r="C53" s="9">
        <f>SUM(C48:C52)</f>
        <v>2127294.23</v>
      </c>
      <c r="D53" s="9">
        <f>SUM(D48:D52)</f>
        <v>2597808.58</v>
      </c>
    </row>
    <row r="54" spans="1:4">
      <c r="B54" s="101"/>
      <c r="C54" s="7"/>
      <c r="D54" s="7"/>
    </row>
    <row r="55" spans="1:4">
      <c r="A55" s="3" t="s">
        <v>407</v>
      </c>
      <c r="B55" s="101"/>
      <c r="C55" s="9">
        <f>C45+C53</f>
        <v>3608635.4400000004</v>
      </c>
      <c r="D55" s="9">
        <f>D45+D53</f>
        <v>4177585.79</v>
      </c>
    </row>
    <row r="56" spans="1:4">
      <c r="B56" s="101"/>
      <c r="D56" s="7"/>
    </row>
    <row r="57" spans="1:4">
      <c r="B57" s="101"/>
      <c r="D57" s="7"/>
    </row>
    <row r="58" spans="1:4" ht="21">
      <c r="A58" s="98" t="str">
        <f>A36</f>
        <v>Balanse pr 31.12.2014 for Oslostudentenes Idrettsklubb</v>
      </c>
      <c r="B58" s="101"/>
      <c r="D58" s="7"/>
    </row>
    <row r="59" spans="1:4">
      <c r="B59" s="101"/>
      <c r="D59" s="7"/>
    </row>
    <row r="60" spans="1:4">
      <c r="B60" s="101"/>
      <c r="C60" s="393" t="s">
        <v>396</v>
      </c>
      <c r="D60" s="393"/>
    </row>
    <row r="61" spans="1:4">
      <c r="B61" s="101" t="s">
        <v>376</v>
      </c>
      <c r="C61" s="102" t="str">
        <f>C39</f>
        <v>2 0 1 4</v>
      </c>
      <c r="D61" s="100" t="str">
        <f>D39</f>
        <v>2 0 1 3</v>
      </c>
    </row>
    <row r="62" spans="1:4">
      <c r="A62" s="3" t="s">
        <v>408</v>
      </c>
      <c r="B62" s="101"/>
      <c r="D62" s="7"/>
    </row>
    <row r="63" spans="1:4">
      <c r="A63" s="16" t="s">
        <v>431</v>
      </c>
      <c r="B63" s="101" t="s">
        <v>414</v>
      </c>
      <c r="C63" s="7">
        <f>'Saldobalanse 2014'!F72</f>
        <v>-637309.85000000009</v>
      </c>
      <c r="D63" s="7">
        <f>'Saldobalanse 2012 og 2013'!D62</f>
        <v>-637309.85000000009</v>
      </c>
    </row>
    <row r="64" spans="1:4">
      <c r="A64" s="16" t="s">
        <v>432</v>
      </c>
      <c r="B64" s="101"/>
      <c r="C64" s="8">
        <f>'Saldobalanse 2014'!F70</f>
        <v>-1144263.4700000011</v>
      </c>
      <c r="D64" s="8">
        <f>'Saldobalanse 2012 og 2013'!D67</f>
        <v>-1315630.3900000001</v>
      </c>
    </row>
    <row r="65" spans="1:4">
      <c r="A65" s="3" t="s">
        <v>410</v>
      </c>
      <c r="B65" s="101"/>
      <c r="C65" s="9">
        <f>SUM(C63:C64)</f>
        <v>-1781573.3200000012</v>
      </c>
      <c r="D65" s="9">
        <f>SUM(D63:D64)</f>
        <v>-1952940.2400000002</v>
      </c>
    </row>
    <row r="66" spans="1:4">
      <c r="B66" s="101"/>
      <c r="D66" s="7"/>
    </row>
    <row r="67" spans="1:4">
      <c r="A67" s="3" t="s">
        <v>411</v>
      </c>
      <c r="B67" s="101"/>
      <c r="D67" s="7"/>
    </row>
    <row r="68" spans="1:4">
      <c r="A68" s="16" t="s">
        <v>433</v>
      </c>
      <c r="B68" s="101" t="s">
        <v>522</v>
      </c>
      <c r="C68" s="7">
        <f>'Saldobalanse 2014'!F79</f>
        <v>-20000</v>
      </c>
      <c r="D68" s="7">
        <v>-20000</v>
      </c>
    </row>
    <row r="69" spans="1:4">
      <c r="A69" t="s">
        <v>413</v>
      </c>
      <c r="B69" s="101" t="s">
        <v>522</v>
      </c>
      <c r="C69" s="8">
        <f>'Saldobalanse 2014'!F76</f>
        <v>-1312790</v>
      </c>
      <c r="D69" s="8">
        <f>'Saldobalanse 2012 og 2013'!D70</f>
        <v>-1312790</v>
      </c>
    </row>
    <row r="70" spans="1:4">
      <c r="A70" s="3" t="s">
        <v>415</v>
      </c>
      <c r="B70" s="101"/>
      <c r="C70" s="9">
        <f>SUM(C68:C69)</f>
        <v>-1332790</v>
      </c>
      <c r="D70" s="9">
        <f>SUM(D68:D69)</f>
        <v>-1332790</v>
      </c>
    </row>
    <row r="71" spans="1:4">
      <c r="B71" s="101"/>
      <c r="D71" s="7"/>
    </row>
    <row r="72" spans="1:4">
      <c r="A72" s="3" t="s">
        <v>416</v>
      </c>
      <c r="B72" s="101"/>
      <c r="D72" s="7"/>
    </row>
    <row r="73" spans="1:4">
      <c r="A73" t="s">
        <v>144</v>
      </c>
      <c r="B73" s="101"/>
      <c r="C73" s="7">
        <f>'Saldobalanse 2014'!F80</f>
        <v>-267059.56</v>
      </c>
      <c r="D73" s="7">
        <f>'Saldobalanse 2012 og 2013'!D71</f>
        <v>-172704.91</v>
      </c>
    </row>
    <row r="74" spans="1:4">
      <c r="A74" t="s">
        <v>417</v>
      </c>
      <c r="B74" s="101" t="s">
        <v>409</v>
      </c>
      <c r="C74" s="7">
        <f>'Saldobalanse 2014'!F84</f>
        <v>-65768</v>
      </c>
      <c r="D74" s="7">
        <f>'Saldobalanse 2012 og 2013'!D79</f>
        <v>-12047.869999999999</v>
      </c>
    </row>
    <row r="75" spans="1:4">
      <c r="A75" t="s">
        <v>146</v>
      </c>
      <c r="B75" s="101" t="s">
        <v>374</v>
      </c>
      <c r="C75" s="8">
        <f>'Saldobalanse 2014'!F89</f>
        <v>-161444.56</v>
      </c>
      <c r="D75" s="8">
        <f>'Saldobalanse 2012 og 2013'!D86</f>
        <v>-707102.77</v>
      </c>
    </row>
    <row r="76" spans="1:4">
      <c r="A76" s="3" t="s">
        <v>418</v>
      </c>
      <c r="B76" s="101"/>
      <c r="C76" s="9">
        <f>SUM(C73:C75)</f>
        <v>-494272.12</v>
      </c>
      <c r="D76" s="9">
        <f>SUM(D73:D75)</f>
        <v>-891855.55</v>
      </c>
    </row>
    <row r="77" spans="1:4">
      <c r="B77" s="101"/>
      <c r="D77" s="7"/>
    </row>
    <row r="78" spans="1:4">
      <c r="A78" s="3" t="s">
        <v>419</v>
      </c>
      <c r="B78" s="101"/>
      <c r="C78" s="9">
        <f>C65+C70+C76</f>
        <v>-3608635.4400000013</v>
      </c>
      <c r="D78" s="9">
        <f>D65+D70+D76</f>
        <v>-4177585.79</v>
      </c>
    </row>
    <row r="80" spans="1:4">
      <c r="B80" s="3" t="s">
        <v>427</v>
      </c>
    </row>
    <row r="82" spans="1:4" ht="13.2">
      <c r="A82" s="95" t="s">
        <v>536</v>
      </c>
      <c r="B82" s="96" t="s">
        <v>420</v>
      </c>
      <c r="D82" s="96" t="s">
        <v>420</v>
      </c>
    </row>
    <row r="83" spans="1:4" ht="13.2">
      <c r="A83" s="95"/>
      <c r="B83" s="96"/>
      <c r="D83" s="96"/>
    </row>
    <row r="84" spans="1:4" ht="13.2">
      <c r="A84" s="95" t="s">
        <v>420</v>
      </c>
      <c r="B84" s="96" t="s">
        <v>420</v>
      </c>
      <c r="D84" s="96" t="s">
        <v>420</v>
      </c>
    </row>
    <row r="85" spans="1:4" ht="13.2">
      <c r="A85" s="11"/>
      <c r="B85" s="11"/>
      <c r="C85" s="16" t="s">
        <v>374</v>
      </c>
      <c r="D85" s="11"/>
    </row>
    <row r="86" spans="1:4" ht="13.2">
      <c r="A86" s="11" t="s">
        <v>420</v>
      </c>
      <c r="B86" s="97" t="s">
        <v>420</v>
      </c>
      <c r="D86" s="97" t="s">
        <v>420</v>
      </c>
    </row>
    <row r="87" spans="1:4" ht="13.2">
      <c r="A87" s="11"/>
      <c r="B87" s="12"/>
      <c r="C87" s="11"/>
      <c r="D87" s="11"/>
    </row>
    <row r="88" spans="1:4" ht="13.2">
      <c r="A88" s="11" t="s">
        <v>420</v>
      </c>
      <c r="B88" s="13" t="s">
        <v>420</v>
      </c>
      <c r="C88" s="11"/>
      <c r="D88" s="97" t="s">
        <v>420</v>
      </c>
    </row>
    <row r="89" spans="1:4" ht="13.2">
      <c r="A89" s="11"/>
      <c r="B89" s="12"/>
      <c r="C89" s="11"/>
    </row>
    <row r="90" spans="1:4" ht="13.2">
      <c r="A90" s="11"/>
      <c r="B90" s="12"/>
      <c r="C90" s="11"/>
    </row>
    <row r="91" spans="1:4" ht="13.2">
      <c r="A91" s="11"/>
      <c r="B91" s="12"/>
      <c r="C91" s="11"/>
      <c r="D91" s="11"/>
    </row>
    <row r="92" spans="1:4" ht="13.2">
      <c r="A92" s="11"/>
      <c r="B92" s="12"/>
      <c r="C92" s="11"/>
      <c r="D92" s="11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3"/>
    </row>
    <row r="95" spans="1:4" ht="13.2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8"/>
  <sheetViews>
    <sheetView topLeftCell="A7" workbookViewId="0">
      <selection activeCell="G89" sqref="G89"/>
    </sheetView>
  </sheetViews>
  <sheetFormatPr baseColWidth="10" defaultColWidth="10.33203125" defaultRowHeight="13.2"/>
  <cols>
    <col min="1" max="1" width="7.6640625" style="51" customWidth="1"/>
    <col min="2" max="2" width="29.44140625" style="51" customWidth="1"/>
    <col min="3" max="3" width="14" style="51" customWidth="1"/>
    <col min="4" max="4" width="15.88671875" style="51" customWidth="1"/>
    <col min="5" max="6" width="13.5546875" style="51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52"/>
      <c r="I1" s="51"/>
    </row>
    <row r="2" spans="1:9" ht="15.6">
      <c r="A2" s="49" t="s">
        <v>647</v>
      </c>
      <c r="B2" s="50"/>
      <c r="C2" s="53"/>
      <c r="I2" s="51"/>
    </row>
    <row r="3" spans="1:9">
      <c r="A3" s="50"/>
      <c r="B3" s="50"/>
      <c r="I3" s="51"/>
    </row>
    <row r="4" spans="1:9">
      <c r="A4" s="54" t="s">
        <v>445</v>
      </c>
      <c r="B4" s="10"/>
      <c r="I4" s="51"/>
    </row>
    <row r="5" spans="1:9">
      <c r="A5" s="54"/>
      <c r="B5" s="10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656</v>
      </c>
      <c r="I9" s="51"/>
    </row>
    <row r="10" spans="1:9">
      <c r="A10" s="10"/>
      <c r="B10" s="10" t="s">
        <v>657</v>
      </c>
      <c r="I10" s="51"/>
    </row>
    <row r="11" spans="1:9">
      <c r="A11" s="10"/>
      <c r="B11" s="10" t="s">
        <v>659</v>
      </c>
      <c r="I11" s="51"/>
    </row>
    <row r="12" spans="1:9">
      <c r="A12" s="10"/>
      <c r="B12" s="10" t="s">
        <v>658</v>
      </c>
      <c r="I12" s="51"/>
    </row>
    <row r="13" spans="1:9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660</v>
      </c>
      <c r="I18" s="51"/>
    </row>
    <row r="19" spans="1:9">
      <c r="A19" s="18"/>
      <c r="B19" s="18" t="s">
        <v>661</v>
      </c>
      <c r="I19" s="51"/>
    </row>
    <row r="20" spans="1:9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662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>
      <c r="A37" s="56" t="s">
        <v>459</v>
      </c>
      <c r="B37" s="54" t="s">
        <v>460</v>
      </c>
      <c r="I37" s="51"/>
    </row>
    <row r="38" spans="1:9">
      <c r="A38" s="56"/>
      <c r="B38" s="54"/>
      <c r="E38" s="57"/>
      <c r="I38" s="51"/>
    </row>
    <row r="39" spans="1:9" ht="14.4">
      <c r="A39" s="56"/>
      <c r="B39" s="55" t="s">
        <v>461</v>
      </c>
      <c r="C39" s="58" t="s">
        <v>648</v>
      </c>
      <c r="D39" s="58" t="s">
        <v>462</v>
      </c>
      <c r="I39" s="51"/>
    </row>
    <row r="40" spans="1:9" ht="14.4">
      <c r="A40" s="56"/>
      <c r="B40" s="10" t="s">
        <v>463</v>
      </c>
      <c r="C40" s="60">
        <f>'Saldobalanse 2014'!E117+'Saldobalanse 2014'!E118+'Saldobalanse 2014'!E120+'Saldobalanse 2014'!E124</f>
        <v>1055791.8</v>
      </c>
      <c r="D40" s="61">
        <v>620180.06999999995</v>
      </c>
      <c r="I40" s="51"/>
    </row>
    <row r="41" spans="1:9">
      <c r="A41" s="56"/>
      <c r="B41" s="10" t="s">
        <v>232</v>
      </c>
      <c r="C41" s="61">
        <f>'Saldobalanse 2014'!E126+'Saldobalanse 2014'!E127</f>
        <v>124840.86</v>
      </c>
      <c r="D41" s="61">
        <v>82055.37000000001</v>
      </c>
      <c r="I41" s="51"/>
    </row>
    <row r="42" spans="1:9">
      <c r="A42" s="56"/>
      <c r="B42" s="10" t="s">
        <v>464</v>
      </c>
      <c r="C42" s="61">
        <f>'Saldobalanse 2014'!E129</f>
        <v>12409</v>
      </c>
      <c r="D42" s="61">
        <v>5723</v>
      </c>
      <c r="I42" s="51"/>
    </row>
    <row r="43" spans="1:9">
      <c r="A43" s="56"/>
      <c r="B43" s="10" t="s">
        <v>465</v>
      </c>
      <c r="C43" s="62">
        <f>'Saldobalanse 2014'!E121+'Saldobalanse 2014'!E122+'Saldobalanse 2014'!E123+'Saldobalanse 2014'!E128+'Saldobalanse 2014'!E130</f>
        <v>283702.84999999998</v>
      </c>
      <c r="D43" s="62">
        <v>53737.999999999985</v>
      </c>
      <c r="I43" s="51"/>
    </row>
    <row r="44" spans="1:9">
      <c r="A44" s="56"/>
      <c r="B44" s="10" t="s">
        <v>466</v>
      </c>
      <c r="C44" s="61">
        <f>SUM(C40:C43)</f>
        <v>1476744.5100000002</v>
      </c>
      <c r="D44" s="61">
        <v>761696.44</v>
      </c>
      <c r="I44" s="51"/>
    </row>
    <row r="45" spans="1:9">
      <c r="A45" s="56"/>
      <c r="B45" s="10"/>
      <c r="C45" s="63"/>
      <c r="D45" s="59"/>
      <c r="E45" s="57"/>
      <c r="F45" s="59"/>
      <c r="I45" s="51"/>
    </row>
    <row r="46" spans="1:9">
      <c r="A46" s="56"/>
      <c r="B46" s="64" t="s">
        <v>652</v>
      </c>
      <c r="C46" s="65"/>
      <c r="D46" s="65"/>
      <c r="E46" s="65"/>
      <c r="F46" s="65"/>
      <c r="I46" s="51"/>
    </row>
    <row r="47" spans="1:9">
      <c r="B47" s="66" t="s">
        <v>663</v>
      </c>
      <c r="I47" s="51"/>
    </row>
    <row r="48" spans="1:9">
      <c r="B48" s="10" t="s">
        <v>653</v>
      </c>
      <c r="I48" s="51"/>
    </row>
    <row r="49" spans="1:9">
      <c r="B49" s="10" t="s">
        <v>654</v>
      </c>
      <c r="I49" s="51"/>
    </row>
    <row r="50" spans="1:9">
      <c r="B50" s="10" t="s">
        <v>664</v>
      </c>
      <c r="I50" s="51"/>
    </row>
    <row r="51" spans="1:9">
      <c r="B51" s="10" t="s">
        <v>665</v>
      </c>
      <c r="I51" s="51"/>
    </row>
    <row r="52" spans="1:9">
      <c r="B52" s="10"/>
      <c r="I52" s="51"/>
    </row>
    <row r="53" spans="1:9">
      <c r="B53" s="10" t="s">
        <v>467</v>
      </c>
      <c r="I53" s="51"/>
    </row>
    <row r="54" spans="1:9">
      <c r="B54" s="10" t="s">
        <v>468</v>
      </c>
      <c r="I54" s="51"/>
    </row>
    <row r="55" spans="1:9">
      <c r="B55" s="10"/>
      <c r="I55" s="51"/>
    </row>
    <row r="56" spans="1:9">
      <c r="B56" s="10"/>
      <c r="I56" s="51"/>
    </row>
    <row r="57" spans="1:9">
      <c r="A57" s="56" t="s">
        <v>469</v>
      </c>
      <c r="B57" s="54" t="s">
        <v>428</v>
      </c>
      <c r="I57" s="51"/>
    </row>
    <row r="58" spans="1:9">
      <c r="B58" s="10" t="s">
        <v>666</v>
      </c>
      <c r="D58" s="78">
        <v>141570.25</v>
      </c>
      <c r="I58" s="51"/>
    </row>
    <row r="59" spans="1:9">
      <c r="B59" s="10" t="s">
        <v>505</v>
      </c>
      <c r="D59" s="79">
        <v>-47190</v>
      </c>
      <c r="I59" s="51"/>
    </row>
    <row r="60" spans="1:9">
      <c r="B60" s="10" t="s">
        <v>651</v>
      </c>
      <c r="D60" s="78">
        <f>SUM(D58:D59)</f>
        <v>94380.25</v>
      </c>
      <c r="I60" s="51"/>
    </row>
    <row r="61" spans="1:9">
      <c r="B61" s="10"/>
      <c r="I61" s="51"/>
    </row>
    <row r="62" spans="1:9">
      <c r="B62" s="10" t="s">
        <v>506</v>
      </c>
      <c r="I62" s="51"/>
    </row>
    <row r="63" spans="1:9">
      <c r="B63" s="10" t="s">
        <v>507</v>
      </c>
      <c r="I63" s="51"/>
    </row>
    <row r="64" spans="1:9">
      <c r="B64" s="10"/>
      <c r="I64" s="51"/>
    </row>
    <row r="65" spans="1:9">
      <c r="B65" s="10"/>
      <c r="I65" s="51"/>
    </row>
    <row r="66" spans="1:9">
      <c r="A66" s="56" t="s">
        <v>474</v>
      </c>
      <c r="B66" s="54" t="s">
        <v>470</v>
      </c>
      <c r="C66" s="56"/>
      <c r="D66" s="56"/>
      <c r="E66" s="56"/>
      <c r="F66" s="57"/>
      <c r="G66" s="57"/>
      <c r="I66" s="51"/>
    </row>
    <row r="67" spans="1:9">
      <c r="A67" s="56"/>
      <c r="B67" s="54"/>
      <c r="C67" s="56"/>
      <c r="D67" s="56"/>
      <c r="E67" s="56"/>
      <c r="F67" s="57"/>
      <c r="G67" s="57"/>
      <c r="I67" s="51"/>
    </row>
    <row r="68" spans="1:9">
      <c r="A68" s="57"/>
      <c r="B68" s="55" t="s">
        <v>508</v>
      </c>
      <c r="C68" s="57"/>
      <c r="D68" s="57"/>
      <c r="E68" s="57"/>
      <c r="F68" s="57"/>
      <c r="G68" s="57"/>
      <c r="I68" s="51"/>
    </row>
    <row r="69" spans="1:9">
      <c r="A69" s="57"/>
      <c r="B69" s="10" t="s">
        <v>651</v>
      </c>
      <c r="C69" s="57"/>
      <c r="D69" s="67">
        <v>1287790</v>
      </c>
      <c r="F69" s="57"/>
      <c r="G69" s="57"/>
      <c r="I69" s="51"/>
    </row>
    <row r="70" spans="1:9">
      <c r="A70" s="57"/>
      <c r="B70" s="10" t="s">
        <v>511</v>
      </c>
      <c r="C70" s="57"/>
      <c r="D70" s="57"/>
      <c r="E70" s="67"/>
      <c r="F70" s="57"/>
      <c r="G70" s="57"/>
      <c r="I70" s="51"/>
    </row>
    <row r="71" spans="1:9">
      <c r="A71" s="57"/>
      <c r="B71" s="57" t="s">
        <v>509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510</v>
      </c>
      <c r="C72" s="67"/>
      <c r="D72" s="57"/>
      <c r="E72" s="57"/>
      <c r="F72" s="57"/>
      <c r="G72" s="57"/>
      <c r="I72" s="51"/>
    </row>
    <row r="73" spans="1:9">
      <c r="A73" s="57"/>
      <c r="B73" s="10" t="s">
        <v>540</v>
      </c>
      <c r="C73" s="67"/>
      <c r="D73" s="57"/>
      <c r="E73" s="57"/>
      <c r="F73" s="57"/>
      <c r="G73" s="57"/>
      <c r="I73" s="51"/>
    </row>
    <row r="74" spans="1:9">
      <c r="A74" s="57"/>
      <c r="B74" s="10"/>
      <c r="C74" s="67"/>
      <c r="D74" s="57"/>
      <c r="E74" s="57"/>
      <c r="F74" s="57"/>
      <c r="G74" s="57"/>
      <c r="I74" s="51"/>
    </row>
    <row r="75" spans="1:9">
      <c r="A75" s="57"/>
      <c r="B75" s="55" t="s">
        <v>512</v>
      </c>
      <c r="C75" s="67"/>
      <c r="D75" s="57"/>
      <c r="E75" s="57"/>
      <c r="F75" s="57"/>
      <c r="G75" s="57"/>
      <c r="I75" s="51"/>
    </row>
    <row r="76" spans="1:9">
      <c r="A76" s="57"/>
      <c r="B76" s="10" t="s">
        <v>651</v>
      </c>
      <c r="C76" s="57"/>
      <c r="D76" s="67">
        <v>45000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v>-59794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E83" s="130" t="s">
        <v>374</v>
      </c>
      <c r="F83" s="57"/>
      <c r="G83" s="57"/>
      <c r="I83" s="51" t="s">
        <v>374</v>
      </c>
    </row>
    <row r="84" spans="1:9">
      <c r="A84" s="57"/>
      <c r="B84" s="10" t="s">
        <v>651</v>
      </c>
      <c r="C84" s="57"/>
      <c r="D84" s="67">
        <f>SUM(D81:D83)</f>
        <v>46506.8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v>-71400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-9670</v>
      </c>
      <c r="E93" s="130"/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7666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v>-275000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-15000</v>
      </c>
      <c r="F100" s="57"/>
      <c r="G100" s="57"/>
      <c r="I100" s="51"/>
    </row>
    <row r="101" spans="1:9">
      <c r="A101" s="57"/>
      <c r="B101" s="10" t="s">
        <v>651</v>
      </c>
      <c r="C101" s="67"/>
      <c r="D101" s="82">
        <f>SUM(D98:D100)</f>
        <v>0</v>
      </c>
      <c r="F101" s="57"/>
      <c r="G101" s="57"/>
      <c r="I101" s="51"/>
    </row>
    <row r="102" spans="1:9">
      <c r="A102" s="57"/>
      <c r="B102" s="10"/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>
      <c r="A105" s="70" t="s">
        <v>477</v>
      </c>
      <c r="B105" s="54" t="s">
        <v>476</v>
      </c>
    </row>
    <row r="106" spans="1:9">
      <c r="A106" s="57"/>
      <c r="B106" s="10" t="s">
        <v>667</v>
      </c>
    </row>
    <row r="107" spans="1:9">
      <c r="A107" s="57"/>
      <c r="B107" s="10" t="s">
        <v>668</v>
      </c>
    </row>
    <row r="108" spans="1:9">
      <c r="B108" s="10"/>
    </row>
    <row r="109" spans="1:9">
      <c r="B109" s="10"/>
    </row>
    <row r="110" spans="1:9">
      <c r="A110" s="71" t="s">
        <v>479</v>
      </c>
      <c r="B110" s="54" t="s">
        <v>478</v>
      </c>
    </row>
    <row r="111" spans="1:9">
      <c r="B111" s="57" t="s">
        <v>527</v>
      </c>
      <c r="C111" s="70" t="s">
        <v>649</v>
      </c>
      <c r="D111" s="90" t="s">
        <v>534</v>
      </c>
      <c r="E111" s="89" t="s">
        <v>650</v>
      </c>
      <c r="F111" s="72"/>
      <c r="I111" s="51"/>
    </row>
    <row r="112" spans="1:9">
      <c r="B112" s="57" t="s">
        <v>528</v>
      </c>
      <c r="C112" s="82">
        <v>-541013</v>
      </c>
      <c r="D112" s="82"/>
      <c r="E112" s="84">
        <f>C112</f>
        <v>-541013</v>
      </c>
      <c r="F112" s="72"/>
      <c r="I112" s="51"/>
    </row>
    <row r="113" spans="1:9">
      <c r="B113" s="73" t="s">
        <v>126</v>
      </c>
      <c r="C113" s="83">
        <v>-96297</v>
      </c>
      <c r="D113" s="83"/>
      <c r="E113" s="85">
        <f>C113</f>
        <v>-96297</v>
      </c>
      <c r="F113" s="72"/>
      <c r="I113" s="51"/>
    </row>
    <row r="114" spans="1:9">
      <c r="B114" s="73"/>
      <c r="C114" s="82"/>
      <c r="D114" s="82"/>
      <c r="E114" s="86"/>
      <c r="F114" s="72"/>
      <c r="I114" s="51"/>
    </row>
    <row r="115" spans="1:9">
      <c r="B115" s="73" t="s">
        <v>531</v>
      </c>
      <c r="C115" s="82">
        <f>SUM(C112:C114)</f>
        <v>-637310</v>
      </c>
      <c r="D115" s="82">
        <f>SUM(D112:D114)</f>
        <v>0</v>
      </c>
      <c r="E115" s="84">
        <f>SUM(E111:E114)</f>
        <v>-637310</v>
      </c>
      <c r="F115" s="72" t="s">
        <v>374</v>
      </c>
      <c r="I115" s="51"/>
    </row>
    <row r="116" spans="1:9">
      <c r="B116" t="s">
        <v>374</v>
      </c>
      <c r="C116" s="75" t="s">
        <v>374</v>
      </c>
      <c r="D116" s="65"/>
      <c r="E116" s="57"/>
      <c r="F116" s="57"/>
      <c r="I116" s="51"/>
    </row>
    <row r="117" spans="1:9">
      <c r="C117" s="88" t="s">
        <v>649</v>
      </c>
      <c r="D117" s="91" t="s">
        <v>532</v>
      </c>
      <c r="E117" s="70" t="s">
        <v>650</v>
      </c>
      <c r="F117" s="57"/>
      <c r="I117" s="51"/>
    </row>
    <row r="118" spans="1:9">
      <c r="B118" s="73" t="s">
        <v>432</v>
      </c>
      <c r="C118" s="92">
        <v>-1315630.3899999999</v>
      </c>
      <c r="D118" s="93">
        <f>'Saldobalanse 2014'!H182</f>
        <v>171366.91999999899</v>
      </c>
      <c r="E118" s="81">
        <f>SUM(C118:D118)</f>
        <v>-1144263.4700000009</v>
      </c>
      <c r="F118" s="57"/>
      <c r="I118" s="51"/>
    </row>
    <row r="119" spans="1:9">
      <c r="B119"/>
      <c r="C119" s="75"/>
      <c r="D119" s="65"/>
      <c r="E119" s="57"/>
      <c r="F119" s="57"/>
      <c r="I119" s="51"/>
    </row>
    <row r="120" spans="1:9">
      <c r="B120" s="46" t="s">
        <v>533</v>
      </c>
      <c r="C120" s="94">
        <f t="shared" ref="C120:D120" si="0">C115+C118</f>
        <v>-1952940.39</v>
      </c>
      <c r="D120" s="94">
        <f t="shared" si="0"/>
        <v>171366.91999999899</v>
      </c>
      <c r="E120" s="94">
        <f>E115+E118</f>
        <v>-1781573.4700000009</v>
      </c>
      <c r="F120" s="57"/>
      <c r="I120" s="51"/>
    </row>
    <row r="121" spans="1:9">
      <c r="A121" s="57"/>
      <c r="B121" s="10"/>
      <c r="C121" s="57"/>
      <c r="D121" s="57"/>
      <c r="E121" s="57"/>
      <c r="F121" s="67"/>
      <c r="G121" s="57"/>
      <c r="H121" s="57"/>
      <c r="I121" s="51"/>
    </row>
    <row r="122" spans="1:9">
      <c r="A122" s="57"/>
      <c r="B122" s="10"/>
      <c r="C122" s="57"/>
      <c r="D122" s="57"/>
      <c r="E122" s="57"/>
      <c r="F122" s="67"/>
      <c r="G122" s="57"/>
      <c r="H122" s="57"/>
      <c r="I122" s="51"/>
    </row>
    <row r="123" spans="1:9">
      <c r="A123" s="56" t="s">
        <v>480</v>
      </c>
      <c r="B123" s="54" t="s">
        <v>482</v>
      </c>
      <c r="I123" s="51"/>
    </row>
    <row r="124" spans="1:9">
      <c r="B124" s="76" t="s">
        <v>669</v>
      </c>
      <c r="C124" s="65"/>
      <c r="D124" s="65"/>
      <c r="I124" s="51"/>
    </row>
    <row r="126" spans="1:9">
      <c r="A126" s="56" t="s">
        <v>374</v>
      </c>
      <c r="B126" s="56" t="s">
        <v>374</v>
      </c>
      <c r="I126" s="51"/>
    </row>
    <row r="127" spans="1:9">
      <c r="A127" s="56"/>
      <c r="B127" s="50" t="s">
        <v>374</v>
      </c>
      <c r="I127" s="51"/>
    </row>
    <row r="128" spans="1:9">
      <c r="B128" s="87" t="s">
        <v>374</v>
      </c>
      <c r="C128" s="65"/>
      <c r="D128" s="65"/>
      <c r="E128" s="65"/>
      <c r="F128" s="6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85"/>
  <sheetViews>
    <sheetView workbookViewId="0">
      <selection activeCell="E13" sqref="E13"/>
    </sheetView>
  </sheetViews>
  <sheetFormatPr baseColWidth="10" defaultColWidth="11.5546875" defaultRowHeight="13.2"/>
  <cols>
    <col min="1" max="1" width="13.5546875" customWidth="1"/>
    <col min="2" max="2" width="43.109375" bestFit="1" customWidth="1"/>
    <col min="3" max="3" width="17.88671875" style="106" bestFit="1" customWidth="1"/>
    <col min="4" max="4" width="19.88671875" style="106" bestFit="1" customWidth="1"/>
    <col min="5" max="5" width="17.109375" style="106" bestFit="1" customWidth="1"/>
    <col min="6" max="8" width="13.44140625" bestFit="1" customWidth="1"/>
  </cols>
  <sheetData>
    <row r="1" spans="1:7" ht="21" customHeight="1">
      <c r="A1" s="105" t="s">
        <v>543</v>
      </c>
    </row>
    <row r="2" spans="1:7" ht="14.4">
      <c r="A2" s="3" t="s">
        <v>544</v>
      </c>
      <c r="B2" s="3" t="s">
        <v>545</v>
      </c>
      <c r="C2" s="107" t="s">
        <v>546</v>
      </c>
      <c r="D2" s="107" t="s">
        <v>547</v>
      </c>
      <c r="E2" s="107" t="s">
        <v>548</v>
      </c>
    </row>
    <row r="3" spans="1:7">
      <c r="A3">
        <v>1000</v>
      </c>
      <c r="B3" s="108" t="s">
        <v>549</v>
      </c>
      <c r="C3" s="106">
        <v>141569.57999999999</v>
      </c>
      <c r="D3" s="106">
        <v>-47190</v>
      </c>
      <c r="E3" s="106">
        <v>94379.58</v>
      </c>
      <c r="F3" s="109">
        <f>E3</f>
        <v>94379.58</v>
      </c>
    </row>
    <row r="4" spans="1:7">
      <c r="A4">
        <v>1101</v>
      </c>
      <c r="B4" s="108" t="s">
        <v>508</v>
      </c>
      <c r="C4" s="106">
        <v>1287790</v>
      </c>
      <c r="D4" s="106">
        <v>0</v>
      </c>
      <c r="E4" s="106">
        <v>1287790</v>
      </c>
    </row>
    <row r="5" spans="1:7">
      <c r="A5">
        <v>1102</v>
      </c>
      <c r="B5" s="108" t="s">
        <v>512</v>
      </c>
      <c r="C5" s="106">
        <v>45000</v>
      </c>
      <c r="D5" s="106">
        <v>0</v>
      </c>
      <c r="E5" s="106">
        <v>45000</v>
      </c>
    </row>
    <row r="6" spans="1:7">
      <c r="A6">
        <v>1110</v>
      </c>
      <c r="B6" s="108" t="s">
        <v>550</v>
      </c>
      <c r="C6" s="106">
        <v>73081.8</v>
      </c>
      <c r="D6" s="106">
        <v>-26576</v>
      </c>
      <c r="E6" s="106">
        <v>46505.8</v>
      </c>
      <c r="F6" s="109">
        <f>SUM(E4:E6)</f>
        <v>1379295.8</v>
      </c>
    </row>
    <row r="7" spans="1:7">
      <c r="A7">
        <v>1250</v>
      </c>
      <c r="B7" s="108" t="s">
        <v>14</v>
      </c>
      <c r="C7" s="106">
        <v>17335.830000000002</v>
      </c>
      <c r="D7" s="106">
        <v>-9670</v>
      </c>
      <c r="E7" s="110">
        <v>7665.83</v>
      </c>
    </row>
    <row r="8" spans="1:7">
      <c r="A8">
        <v>1256</v>
      </c>
      <c r="B8" s="108" t="s">
        <v>551</v>
      </c>
      <c r="C8" s="106">
        <v>15000</v>
      </c>
      <c r="D8" s="106">
        <v>-15000</v>
      </c>
      <c r="E8" s="110">
        <v>0</v>
      </c>
      <c r="F8" s="111">
        <f>SUM(E7:E8)</f>
        <v>7665.83</v>
      </c>
      <c r="G8" s="109">
        <f>SUM(F3:F8)</f>
        <v>1481341.2100000002</v>
      </c>
    </row>
    <row r="9" spans="1:7">
      <c r="A9">
        <v>1465</v>
      </c>
      <c r="B9" s="108" t="s">
        <v>18</v>
      </c>
      <c r="C9" s="106">
        <v>67310.5</v>
      </c>
      <c r="D9" s="106">
        <v>0</v>
      </c>
      <c r="E9" s="106">
        <v>67310.5</v>
      </c>
      <c r="F9" s="109">
        <f>E9</f>
        <v>67310.5</v>
      </c>
    </row>
    <row r="10" spans="1:7">
      <c r="A10">
        <v>1500</v>
      </c>
      <c r="B10" s="108" t="s">
        <v>552</v>
      </c>
      <c r="C10" s="106">
        <v>230160.54</v>
      </c>
      <c r="D10" s="106">
        <v>-105456.54</v>
      </c>
      <c r="E10" s="112">
        <v>124704</v>
      </c>
      <c r="F10" s="113">
        <f>E10</f>
        <v>124704</v>
      </c>
    </row>
    <row r="11" spans="1:7">
      <c r="A11">
        <v>1580</v>
      </c>
      <c r="B11" s="108" t="s">
        <v>553</v>
      </c>
      <c r="C11" s="106">
        <v>-200000</v>
      </c>
      <c r="D11" s="106">
        <v>0</v>
      </c>
      <c r="E11" s="114">
        <v>-200000</v>
      </c>
    </row>
    <row r="12" spans="1:7">
      <c r="A12">
        <v>1516</v>
      </c>
      <c r="B12" s="108" t="s">
        <v>24</v>
      </c>
      <c r="C12" s="106">
        <v>0</v>
      </c>
      <c r="D12" s="106">
        <v>0</v>
      </c>
      <c r="E12" s="114">
        <v>0</v>
      </c>
    </row>
    <row r="13" spans="1:7">
      <c r="A13">
        <v>1520</v>
      </c>
      <c r="B13" s="108" t="s">
        <v>26</v>
      </c>
      <c r="C13" s="106">
        <v>195225.22</v>
      </c>
      <c r="D13" s="106">
        <v>0</v>
      </c>
      <c r="E13" s="114">
        <v>195225.22</v>
      </c>
    </row>
    <row r="14" spans="1:7">
      <c r="A14">
        <v>1530</v>
      </c>
      <c r="B14" s="108" t="s">
        <v>554</v>
      </c>
      <c r="C14" s="106">
        <v>0</v>
      </c>
      <c r="D14" s="106">
        <v>39400</v>
      </c>
      <c r="E14" s="114">
        <v>39400</v>
      </c>
    </row>
    <row r="15" spans="1:7">
      <c r="A15">
        <v>1540</v>
      </c>
      <c r="B15" s="108" t="s">
        <v>555</v>
      </c>
      <c r="C15" s="106">
        <v>0</v>
      </c>
      <c r="D15" s="106">
        <v>20585</v>
      </c>
      <c r="E15" s="114">
        <v>20585</v>
      </c>
    </row>
    <row r="16" spans="1:7">
      <c r="A16">
        <v>1700</v>
      </c>
      <c r="B16" s="108" t="s">
        <v>32</v>
      </c>
      <c r="C16" s="106">
        <v>6000</v>
      </c>
      <c r="D16" s="106">
        <v>0</v>
      </c>
      <c r="E16" s="114">
        <v>6000</v>
      </c>
    </row>
    <row r="17" spans="1:8">
      <c r="A17">
        <v>1749</v>
      </c>
      <c r="B17" s="108" t="s">
        <v>556</v>
      </c>
      <c r="C17" s="106">
        <v>0</v>
      </c>
      <c r="D17" s="106">
        <v>1913.75</v>
      </c>
      <c r="E17" s="114">
        <v>1913.75</v>
      </c>
      <c r="F17" s="115">
        <f>SUM(E11:E17)</f>
        <v>63123.97</v>
      </c>
    </row>
    <row r="18" spans="1:8">
      <c r="A18">
        <v>1880</v>
      </c>
      <c r="B18" s="108" t="s">
        <v>34</v>
      </c>
      <c r="C18" s="106">
        <v>287024.28999999998</v>
      </c>
      <c r="D18" s="106">
        <v>-287024.28999999998</v>
      </c>
      <c r="E18" s="106">
        <v>0</v>
      </c>
    </row>
    <row r="19" spans="1:8">
      <c r="A19">
        <v>1910</v>
      </c>
      <c r="B19" s="108" t="s">
        <v>36</v>
      </c>
      <c r="C19" s="106">
        <v>9488</v>
      </c>
      <c r="D19" s="106">
        <v>0</v>
      </c>
      <c r="E19" s="106">
        <v>9488</v>
      </c>
    </row>
    <row r="20" spans="1:8">
      <c r="A20">
        <v>1920</v>
      </c>
      <c r="B20" s="108" t="s">
        <v>557</v>
      </c>
      <c r="C20" s="106">
        <v>0</v>
      </c>
      <c r="D20" s="106">
        <v>246717.2</v>
      </c>
      <c r="E20" s="106">
        <v>246717.2</v>
      </c>
    </row>
    <row r="21" spans="1:8">
      <c r="A21">
        <v>1930</v>
      </c>
      <c r="B21" s="108" t="s">
        <v>558</v>
      </c>
      <c r="C21" s="106">
        <v>286810.53999999998</v>
      </c>
      <c r="D21" s="106">
        <v>-2770.44</v>
      </c>
      <c r="E21" s="106">
        <v>284040.09999999998</v>
      </c>
    </row>
    <row r="22" spans="1:8">
      <c r="A22">
        <v>1931</v>
      </c>
      <c r="B22" s="108" t="s">
        <v>559</v>
      </c>
      <c r="C22" s="106">
        <v>38093.26</v>
      </c>
      <c r="D22" s="106">
        <v>-37994.9</v>
      </c>
      <c r="E22" s="106">
        <v>98.36</v>
      </c>
    </row>
    <row r="23" spans="1:8">
      <c r="A23">
        <v>1936</v>
      </c>
      <c r="B23" s="108" t="s">
        <v>560</v>
      </c>
      <c r="C23" s="106">
        <v>44158.92</v>
      </c>
      <c r="D23" s="106">
        <v>776.72</v>
      </c>
      <c r="E23" s="106">
        <v>44935.64</v>
      </c>
    </row>
    <row r="24" spans="1:8">
      <c r="A24">
        <v>1938</v>
      </c>
      <c r="B24" s="108" t="s">
        <v>44</v>
      </c>
      <c r="C24" s="106">
        <v>3758.75</v>
      </c>
      <c r="D24" s="106">
        <v>3.77</v>
      </c>
      <c r="E24" s="106">
        <v>3762.52</v>
      </c>
    </row>
    <row r="25" spans="1:8">
      <c r="A25">
        <v>1940</v>
      </c>
      <c r="B25" s="108" t="s">
        <v>561</v>
      </c>
      <c r="C25" s="106">
        <v>110703.06</v>
      </c>
      <c r="D25" s="106">
        <v>-13927.12</v>
      </c>
      <c r="E25" s="106">
        <v>96775.94</v>
      </c>
    </row>
    <row r="26" spans="1:8">
      <c r="A26">
        <v>1945</v>
      </c>
      <c r="B26" s="108" t="s">
        <v>48</v>
      </c>
      <c r="C26" s="106">
        <v>6238.47</v>
      </c>
      <c r="D26" s="106">
        <v>6.24</v>
      </c>
      <c r="E26" s="106">
        <v>6244.71</v>
      </c>
    </row>
    <row r="27" spans="1:8">
      <c r="A27">
        <v>1946</v>
      </c>
      <c r="B27" s="108" t="s">
        <v>50</v>
      </c>
      <c r="C27" s="106">
        <v>1344685.58</v>
      </c>
      <c r="D27" s="106">
        <v>-461351.15</v>
      </c>
      <c r="E27" s="106">
        <v>883334.43</v>
      </c>
    </row>
    <row r="28" spans="1:8">
      <c r="A28">
        <v>1950</v>
      </c>
      <c r="B28" s="108" t="s">
        <v>562</v>
      </c>
      <c r="C28" s="106">
        <v>0</v>
      </c>
      <c r="D28" s="106">
        <v>15658</v>
      </c>
      <c r="E28" s="106">
        <v>15658</v>
      </c>
    </row>
    <row r="29" spans="1:8">
      <c r="A29">
        <v>1952</v>
      </c>
      <c r="B29" s="108" t="s">
        <v>563</v>
      </c>
      <c r="C29" s="106">
        <v>61491.79</v>
      </c>
      <c r="D29" s="106">
        <v>111073.36</v>
      </c>
      <c r="E29" s="106">
        <v>172565.15</v>
      </c>
    </row>
    <row r="30" spans="1:8">
      <c r="A30">
        <v>1962</v>
      </c>
      <c r="B30" s="108" t="s">
        <v>564</v>
      </c>
      <c r="C30" s="106">
        <v>106659.66</v>
      </c>
      <c r="D30" s="106">
        <v>1876.05</v>
      </c>
      <c r="E30" s="106">
        <v>108535.71</v>
      </c>
      <c r="F30" s="109">
        <f>SUM(E19:E30)</f>
        <v>1872155.7599999998</v>
      </c>
      <c r="G30" s="109">
        <f>SUM(F9:F30)</f>
        <v>2127294.23</v>
      </c>
      <c r="H30" s="109">
        <f>SUM(G8:G30)</f>
        <v>3608635.4400000004</v>
      </c>
    </row>
    <row r="31" spans="1:8">
      <c r="A31">
        <v>0</v>
      </c>
      <c r="B31" s="108" t="s">
        <v>565</v>
      </c>
      <c r="C31" s="106">
        <f>SUM(C3:C30)</f>
        <v>4177585.7900000005</v>
      </c>
      <c r="D31" s="106">
        <v>-568950.35</v>
      </c>
      <c r="E31" s="106">
        <f>SUM(E3:E30)</f>
        <v>3608635.44</v>
      </c>
    </row>
    <row r="32" spans="1:8">
      <c r="A32">
        <v>0</v>
      </c>
      <c r="B32" s="108"/>
      <c r="C32" s="106">
        <v>0</v>
      </c>
      <c r="D32" s="106">
        <v>0</v>
      </c>
      <c r="E32" s="106">
        <v>0</v>
      </c>
    </row>
    <row r="33" spans="1:5">
      <c r="A33">
        <v>2001</v>
      </c>
      <c r="B33" s="108" t="s">
        <v>566</v>
      </c>
      <c r="C33" s="23">
        <v>-12195.1</v>
      </c>
      <c r="D33" s="106">
        <v>0</v>
      </c>
      <c r="E33" s="106">
        <f>C33</f>
        <v>-12195.1</v>
      </c>
    </row>
    <row r="34" spans="1:5">
      <c r="A34">
        <v>2002</v>
      </c>
      <c r="B34" s="108" t="s">
        <v>58</v>
      </c>
      <c r="C34" s="23">
        <v>18900.36</v>
      </c>
      <c r="D34" s="106">
        <v>0</v>
      </c>
      <c r="E34" s="106">
        <f t="shared" ref="E34:E72" si="0">C34</f>
        <v>18900.36</v>
      </c>
    </row>
    <row r="35" spans="1:5">
      <c r="A35">
        <v>2003</v>
      </c>
      <c r="B35" s="108" t="s">
        <v>60</v>
      </c>
      <c r="C35" s="23">
        <v>-7121.34</v>
      </c>
      <c r="D35" s="106">
        <v>0</v>
      </c>
      <c r="E35" s="106">
        <f t="shared" si="0"/>
        <v>-7121.34</v>
      </c>
    </row>
    <row r="36" spans="1:5">
      <c r="A36">
        <v>2004</v>
      </c>
      <c r="B36" s="108" t="s">
        <v>62</v>
      </c>
      <c r="C36" s="23">
        <v>-22991.99</v>
      </c>
      <c r="D36" s="106">
        <v>0</v>
      </c>
      <c r="E36" s="106">
        <f t="shared" si="0"/>
        <v>-22991.99</v>
      </c>
    </row>
    <row r="37" spans="1:5">
      <c r="A37">
        <v>2005</v>
      </c>
      <c r="B37" s="108" t="s">
        <v>64</v>
      </c>
      <c r="C37" s="23">
        <v>9720.8700000000008</v>
      </c>
      <c r="D37" s="106">
        <v>0</v>
      </c>
      <c r="E37" s="106">
        <f t="shared" si="0"/>
        <v>9720.8700000000008</v>
      </c>
    </row>
    <row r="38" spans="1:5">
      <c r="A38">
        <v>2006</v>
      </c>
      <c r="B38" s="108" t="s">
        <v>66</v>
      </c>
      <c r="C38" s="23">
        <v>2973.72</v>
      </c>
      <c r="D38" s="106">
        <v>0</v>
      </c>
      <c r="E38" s="106">
        <f t="shared" si="0"/>
        <v>2973.72</v>
      </c>
    </row>
    <row r="39" spans="1:5">
      <c r="A39">
        <v>2007</v>
      </c>
      <c r="B39" s="108" t="s">
        <v>68</v>
      </c>
      <c r="C39" s="23">
        <v>-26184.1</v>
      </c>
      <c r="D39" s="106">
        <v>0</v>
      </c>
      <c r="E39" s="106">
        <f t="shared" si="0"/>
        <v>-26184.1</v>
      </c>
    </row>
    <row r="40" spans="1:5">
      <c r="A40">
        <v>2008</v>
      </c>
      <c r="B40" s="108" t="s">
        <v>70</v>
      </c>
      <c r="C40" s="23">
        <v>43538.11</v>
      </c>
      <c r="D40" s="106">
        <v>0</v>
      </c>
      <c r="E40" s="106">
        <f t="shared" si="0"/>
        <v>43538.11</v>
      </c>
    </row>
    <row r="41" spans="1:5">
      <c r="A41">
        <v>2009</v>
      </c>
      <c r="B41" s="108" t="s">
        <v>567</v>
      </c>
      <c r="C41" s="23">
        <v>13188.8</v>
      </c>
      <c r="D41" s="106">
        <v>0</v>
      </c>
      <c r="E41" s="106">
        <f t="shared" si="0"/>
        <v>13188.8</v>
      </c>
    </row>
    <row r="42" spans="1:5">
      <c r="A42">
        <v>2010</v>
      </c>
      <c r="B42" s="108" t="s">
        <v>74</v>
      </c>
      <c r="C42" s="23">
        <v>53498.51</v>
      </c>
      <c r="D42" s="106">
        <v>0</v>
      </c>
      <c r="E42" s="106">
        <f t="shared" si="0"/>
        <v>53498.51</v>
      </c>
    </row>
    <row r="43" spans="1:5">
      <c r="A43">
        <v>2011</v>
      </c>
      <c r="B43" s="108" t="s">
        <v>76</v>
      </c>
      <c r="C43" s="23">
        <v>-3808.9</v>
      </c>
      <c r="D43" s="106">
        <v>0</v>
      </c>
      <c r="E43" s="106">
        <f t="shared" si="0"/>
        <v>-3808.9</v>
      </c>
    </row>
    <row r="44" spans="1:5">
      <c r="A44">
        <v>2012</v>
      </c>
      <c r="B44" s="108" t="s">
        <v>78</v>
      </c>
      <c r="C44" s="23">
        <v>44046.9</v>
      </c>
      <c r="D44" s="106">
        <v>0</v>
      </c>
      <c r="E44" s="106">
        <f t="shared" si="0"/>
        <v>44046.9</v>
      </c>
    </row>
    <row r="45" spans="1:5">
      <c r="A45">
        <v>2013</v>
      </c>
      <c r="B45" s="108" t="s">
        <v>80</v>
      </c>
      <c r="C45" s="23">
        <v>52126.76</v>
      </c>
      <c r="D45" s="106">
        <v>0</v>
      </c>
      <c r="E45" s="106">
        <f t="shared" si="0"/>
        <v>52126.76</v>
      </c>
    </row>
    <row r="46" spans="1:5">
      <c r="A46">
        <v>2014</v>
      </c>
      <c r="B46" s="108" t="s">
        <v>82</v>
      </c>
      <c r="C46" s="23">
        <v>-9197.25</v>
      </c>
      <c r="D46" s="106">
        <v>0</v>
      </c>
      <c r="E46" s="106">
        <f t="shared" si="0"/>
        <v>-9197.25</v>
      </c>
    </row>
    <row r="47" spans="1:5">
      <c r="A47">
        <v>2015</v>
      </c>
      <c r="B47" s="108" t="s">
        <v>84</v>
      </c>
      <c r="C47" s="23">
        <v>2751.55</v>
      </c>
      <c r="D47" s="106">
        <v>0</v>
      </c>
      <c r="E47" s="106">
        <f t="shared" si="0"/>
        <v>2751.55</v>
      </c>
    </row>
    <row r="48" spans="1:5">
      <c r="A48">
        <v>2016</v>
      </c>
      <c r="B48" s="108" t="s">
        <v>86</v>
      </c>
      <c r="C48" s="23">
        <v>3522.26</v>
      </c>
      <c r="D48" s="106">
        <v>0</v>
      </c>
      <c r="E48" s="106">
        <f t="shared" si="0"/>
        <v>3522.26</v>
      </c>
    </row>
    <row r="49" spans="1:5">
      <c r="A49">
        <v>2017</v>
      </c>
      <c r="B49" s="108" t="s">
        <v>88</v>
      </c>
      <c r="C49" s="23">
        <v>46559.9</v>
      </c>
      <c r="D49" s="106">
        <v>0</v>
      </c>
      <c r="E49" s="106">
        <f t="shared" si="0"/>
        <v>46559.9</v>
      </c>
    </row>
    <row r="50" spans="1:5">
      <c r="A50">
        <v>2018</v>
      </c>
      <c r="B50" s="108" t="s">
        <v>90</v>
      </c>
      <c r="C50" s="23">
        <v>-5139.18</v>
      </c>
      <c r="D50" s="106">
        <v>0</v>
      </c>
      <c r="E50" s="106">
        <f t="shared" si="0"/>
        <v>-5139.18</v>
      </c>
    </row>
    <row r="51" spans="1:5">
      <c r="A51">
        <v>2019</v>
      </c>
      <c r="B51" s="108" t="s">
        <v>568</v>
      </c>
      <c r="C51" s="23">
        <v>22345.68</v>
      </c>
      <c r="D51" s="106">
        <v>0</v>
      </c>
      <c r="E51" s="106">
        <f t="shared" si="0"/>
        <v>22345.68</v>
      </c>
    </row>
    <row r="52" spans="1:5">
      <c r="A52">
        <v>2020</v>
      </c>
      <c r="B52" s="108" t="s">
        <v>94</v>
      </c>
      <c r="C52" s="23">
        <v>-21962.82</v>
      </c>
      <c r="D52" s="106">
        <v>0</v>
      </c>
      <c r="E52" s="106">
        <f t="shared" si="0"/>
        <v>-21962.82</v>
      </c>
    </row>
    <row r="53" spans="1:5">
      <c r="A53">
        <v>2024</v>
      </c>
      <c r="B53" s="108" t="s">
        <v>96</v>
      </c>
      <c r="C53" s="23">
        <v>-83730.98</v>
      </c>
      <c r="D53" s="106">
        <v>0</v>
      </c>
      <c r="E53" s="106">
        <f t="shared" si="0"/>
        <v>-83730.98</v>
      </c>
    </row>
    <row r="54" spans="1:5">
      <c r="A54">
        <v>2025</v>
      </c>
      <c r="B54" s="108" t="s">
        <v>98</v>
      </c>
      <c r="C54" s="23">
        <v>-1021.61</v>
      </c>
      <c r="D54" s="106">
        <v>0</v>
      </c>
      <c r="E54" s="106">
        <f t="shared" si="0"/>
        <v>-1021.61</v>
      </c>
    </row>
    <row r="55" spans="1:5">
      <c r="A55">
        <v>2026</v>
      </c>
      <c r="B55" s="108" t="s">
        <v>100</v>
      </c>
      <c r="C55" s="23">
        <v>-13919.65</v>
      </c>
      <c r="D55" s="106">
        <v>0</v>
      </c>
      <c r="E55" s="106">
        <f t="shared" si="0"/>
        <v>-13919.65</v>
      </c>
    </row>
    <row r="56" spans="1:5">
      <c r="A56">
        <v>2027</v>
      </c>
      <c r="B56" s="108" t="s">
        <v>102</v>
      </c>
      <c r="C56" s="23">
        <v>3403.3900000000003</v>
      </c>
      <c r="D56" s="106">
        <v>0</v>
      </c>
      <c r="E56" s="106">
        <f t="shared" si="0"/>
        <v>3403.3900000000003</v>
      </c>
    </row>
    <row r="57" spans="1:5">
      <c r="A57">
        <v>2028</v>
      </c>
      <c r="B57" s="108" t="s">
        <v>569</v>
      </c>
      <c r="C57" s="23">
        <v>-22952.77</v>
      </c>
      <c r="D57" s="106">
        <v>0</v>
      </c>
      <c r="E57" s="106">
        <f t="shared" si="0"/>
        <v>-22952.77</v>
      </c>
    </row>
    <row r="58" spans="1:5">
      <c r="A58">
        <v>2029</v>
      </c>
      <c r="B58" s="108" t="s">
        <v>106</v>
      </c>
      <c r="C58" s="23">
        <v>12921.82</v>
      </c>
      <c r="D58" s="106">
        <v>0</v>
      </c>
      <c r="E58" s="106">
        <f t="shared" si="0"/>
        <v>12921.82</v>
      </c>
    </row>
    <row r="59" spans="1:5">
      <c r="A59">
        <v>2030</v>
      </c>
      <c r="B59" s="108" t="s">
        <v>108</v>
      </c>
      <c r="C59" s="23">
        <v>-27492.36</v>
      </c>
      <c r="D59" s="106">
        <v>0</v>
      </c>
      <c r="E59" s="106">
        <f t="shared" si="0"/>
        <v>-27492.36</v>
      </c>
    </row>
    <row r="60" spans="1:5">
      <c r="A60">
        <v>2031</v>
      </c>
      <c r="B60" s="108" t="s">
        <v>570</v>
      </c>
      <c r="C60" s="23">
        <v>-60420.29</v>
      </c>
      <c r="D60" s="106">
        <v>0</v>
      </c>
      <c r="E60" s="106">
        <f t="shared" si="0"/>
        <v>-60420.29</v>
      </c>
    </row>
    <row r="61" spans="1:5">
      <c r="A61">
        <v>2032</v>
      </c>
      <c r="B61" s="108" t="s">
        <v>112</v>
      </c>
      <c r="C61" s="23">
        <v>-1891.11</v>
      </c>
      <c r="D61" s="106">
        <v>0</v>
      </c>
      <c r="E61" s="106">
        <f t="shared" si="0"/>
        <v>-1891.11</v>
      </c>
    </row>
    <row r="62" spans="1:5">
      <c r="A62">
        <v>2034</v>
      </c>
      <c r="B62" s="108" t="s">
        <v>114</v>
      </c>
      <c r="C62" s="23">
        <v>-17641.11</v>
      </c>
      <c r="D62" s="106">
        <v>0</v>
      </c>
      <c r="E62" s="106">
        <f t="shared" si="0"/>
        <v>-17641.11</v>
      </c>
    </row>
    <row r="63" spans="1:5">
      <c r="A63">
        <v>2035</v>
      </c>
      <c r="B63" s="108" t="s">
        <v>116</v>
      </c>
      <c r="C63" s="23">
        <v>-11132.17</v>
      </c>
      <c r="D63" s="106">
        <v>0</v>
      </c>
      <c r="E63" s="106">
        <f t="shared" si="0"/>
        <v>-11132.17</v>
      </c>
    </row>
    <row r="64" spans="1:5">
      <c r="A64">
        <v>2036</v>
      </c>
      <c r="B64" s="108" t="s">
        <v>571</v>
      </c>
      <c r="C64" s="23">
        <v>-540</v>
      </c>
      <c r="D64" s="106">
        <v>0</v>
      </c>
      <c r="E64" s="106">
        <f t="shared" si="0"/>
        <v>-540</v>
      </c>
    </row>
    <row r="65" spans="1:9">
      <c r="A65">
        <v>2037</v>
      </c>
      <c r="B65" s="108" t="s">
        <v>572</v>
      </c>
      <c r="C65" s="23">
        <v>-173990.74</v>
      </c>
      <c r="D65" s="106">
        <v>0</v>
      </c>
      <c r="E65" s="106">
        <f t="shared" si="0"/>
        <v>-173990.74</v>
      </c>
    </row>
    <row r="66" spans="1:9">
      <c r="A66">
        <v>2038</v>
      </c>
      <c r="B66" s="108" t="s">
        <v>573</v>
      </c>
      <c r="C66" s="23">
        <v>-22756.240000000002</v>
      </c>
      <c r="D66" s="106">
        <v>0</v>
      </c>
      <c r="E66" s="106">
        <f t="shared" si="0"/>
        <v>-22756.240000000002</v>
      </c>
    </row>
    <row r="67" spans="1:9">
      <c r="A67">
        <v>2045</v>
      </c>
      <c r="B67" s="108" t="s">
        <v>128</v>
      </c>
      <c r="C67" s="23">
        <v>79744.58</v>
      </c>
      <c r="D67" s="106">
        <v>0</v>
      </c>
      <c r="E67" s="106">
        <f t="shared" si="0"/>
        <v>79744.58</v>
      </c>
    </row>
    <row r="68" spans="1:9">
      <c r="A68">
        <v>2055</v>
      </c>
      <c r="B68" s="108" t="s">
        <v>574</v>
      </c>
      <c r="C68" s="23">
        <v>-355508.33</v>
      </c>
      <c r="D68" s="106">
        <v>0</v>
      </c>
      <c r="E68" s="106">
        <f t="shared" si="0"/>
        <v>-355508.33</v>
      </c>
    </row>
    <row r="69" spans="1:9">
      <c r="A69">
        <v>2070</v>
      </c>
      <c r="B69" s="108" t="s">
        <v>134</v>
      </c>
      <c r="C69" s="23">
        <v>-547211.75</v>
      </c>
      <c r="D69" s="106">
        <v>0</v>
      </c>
      <c r="E69" s="106">
        <f t="shared" si="0"/>
        <v>-547211.75</v>
      </c>
    </row>
    <row r="70" spans="1:9">
      <c r="A70">
        <v>2080</v>
      </c>
      <c r="B70" s="108" t="s">
        <v>136</v>
      </c>
      <c r="C70" s="23">
        <v>-276063.81</v>
      </c>
      <c r="D70" s="106">
        <v>0</v>
      </c>
      <c r="E70" s="106">
        <f t="shared" si="0"/>
        <v>-276063.81</v>
      </c>
      <c r="F70" s="109">
        <f>SUM(E33:E70)+E73</f>
        <v>-1144263.4700000011</v>
      </c>
      <c r="I70" s="42" t="s">
        <v>374</v>
      </c>
    </row>
    <row r="71" spans="1:9">
      <c r="A71">
        <v>2040</v>
      </c>
      <c r="B71" s="108" t="s">
        <v>528</v>
      </c>
      <c r="C71" s="23">
        <v>-541013.30000000005</v>
      </c>
      <c r="D71" s="106">
        <v>0</v>
      </c>
      <c r="E71" s="106">
        <f t="shared" si="0"/>
        <v>-541013.30000000005</v>
      </c>
    </row>
    <row r="72" spans="1:9">
      <c r="A72">
        <v>2041</v>
      </c>
      <c r="B72" s="108" t="s">
        <v>126</v>
      </c>
      <c r="C72" s="23">
        <v>-96296.55</v>
      </c>
      <c r="D72" s="106">
        <v>0</v>
      </c>
      <c r="E72" s="106">
        <f t="shared" si="0"/>
        <v>-96296.55</v>
      </c>
      <c r="F72" s="109">
        <f>SUM(E71:E72)</f>
        <v>-637309.85000000009</v>
      </c>
      <c r="G72" s="109">
        <f>SUM(F70:F72)</f>
        <v>-1781573.3200000012</v>
      </c>
    </row>
    <row r="73" spans="1:9">
      <c r="B73" s="108" t="s">
        <v>575</v>
      </c>
      <c r="E73" s="23">
        <f>H182</f>
        <v>171366.91999999899</v>
      </c>
    </row>
    <row r="74" spans="1:9">
      <c r="A74">
        <v>2192</v>
      </c>
      <c r="B74" s="108" t="s">
        <v>138</v>
      </c>
      <c r="C74" s="106">
        <v>-7800</v>
      </c>
      <c r="D74" s="106">
        <v>0</v>
      </c>
      <c r="E74" s="117">
        <v>-7800</v>
      </c>
    </row>
    <row r="75" spans="1:9">
      <c r="A75">
        <v>2240</v>
      </c>
      <c r="B75" s="108" t="s">
        <v>140</v>
      </c>
      <c r="C75" s="106">
        <v>-1000000</v>
      </c>
      <c r="D75" s="106">
        <v>0</v>
      </c>
      <c r="E75" s="112">
        <v>-1000000</v>
      </c>
    </row>
    <row r="76" spans="1:9">
      <c r="A76">
        <v>2241</v>
      </c>
      <c r="B76" s="108" t="s">
        <v>142</v>
      </c>
      <c r="C76" s="106">
        <v>-277790</v>
      </c>
      <c r="D76" s="106">
        <v>0</v>
      </c>
      <c r="E76" s="112">
        <v>-277790</v>
      </c>
      <c r="F76" s="113">
        <f>SUM(E75:E76)+E78</f>
        <v>-1312790</v>
      </c>
    </row>
    <row r="77" spans="1:9">
      <c r="A77">
        <v>2442</v>
      </c>
      <c r="B77" s="108" t="s">
        <v>576</v>
      </c>
      <c r="C77" s="106">
        <v>-10000</v>
      </c>
      <c r="D77" s="106">
        <v>0</v>
      </c>
      <c r="E77" s="114">
        <v>-10000</v>
      </c>
    </row>
    <row r="78" spans="1:9">
      <c r="A78">
        <v>2443</v>
      </c>
      <c r="B78" s="108" t="s">
        <v>150</v>
      </c>
      <c r="C78" s="106">
        <v>-35000</v>
      </c>
      <c r="D78" s="106">
        <v>0</v>
      </c>
      <c r="E78" s="112">
        <v>-35000</v>
      </c>
    </row>
    <row r="79" spans="1:9">
      <c r="A79">
        <v>2444</v>
      </c>
      <c r="B79" s="108" t="s">
        <v>577</v>
      </c>
      <c r="C79" s="106">
        <v>-10000</v>
      </c>
      <c r="D79" s="106">
        <v>0</v>
      </c>
      <c r="E79" s="114">
        <v>-10000</v>
      </c>
      <c r="F79" s="115">
        <f>E77+E79</f>
        <v>-20000</v>
      </c>
    </row>
    <row r="80" spans="1:9">
      <c r="A80">
        <v>2400</v>
      </c>
      <c r="B80" s="108" t="s">
        <v>578</v>
      </c>
      <c r="C80" s="106">
        <v>-172704.91</v>
      </c>
      <c r="D80" s="106">
        <v>-94354.65</v>
      </c>
      <c r="E80" s="106">
        <v>-267059.56</v>
      </c>
      <c r="F80" s="109">
        <f>E80</f>
        <v>-267059.56</v>
      </c>
    </row>
    <row r="81" spans="1:8">
      <c r="A81">
        <v>2600</v>
      </c>
      <c r="B81" s="108" t="s">
        <v>579</v>
      </c>
      <c r="C81" s="106">
        <v>-6256.87</v>
      </c>
      <c r="D81" s="106">
        <v>-9401.1299999999992</v>
      </c>
      <c r="E81" s="110">
        <v>-15658</v>
      </c>
    </row>
    <row r="82" spans="1:8">
      <c r="A82">
        <v>2700</v>
      </c>
      <c r="B82" s="108" t="s">
        <v>580</v>
      </c>
      <c r="C82" s="106">
        <v>0</v>
      </c>
      <c r="D82" s="106">
        <v>0</v>
      </c>
      <c r="E82" s="106">
        <v>0</v>
      </c>
    </row>
    <row r="83" spans="1:8">
      <c r="A83">
        <v>2740</v>
      </c>
      <c r="B83" s="108" t="s">
        <v>581</v>
      </c>
      <c r="C83" s="106">
        <v>-48.39</v>
      </c>
      <c r="D83" s="106">
        <v>48.39</v>
      </c>
      <c r="E83" s="106">
        <v>0</v>
      </c>
    </row>
    <row r="84" spans="1:8">
      <c r="A84">
        <v>2770</v>
      </c>
      <c r="B84" s="108" t="s">
        <v>160</v>
      </c>
      <c r="C84" s="106">
        <v>-5791</v>
      </c>
      <c r="D84" s="106">
        <v>-44319</v>
      </c>
      <c r="E84" s="110">
        <v>-50110</v>
      </c>
      <c r="F84" s="111">
        <f>E81+E84</f>
        <v>-65768</v>
      </c>
    </row>
    <row r="85" spans="1:8">
      <c r="A85">
        <v>2780</v>
      </c>
      <c r="B85" s="108" t="s">
        <v>582</v>
      </c>
      <c r="C85" s="106">
        <v>-6734.76</v>
      </c>
      <c r="D85" s="106">
        <v>-264.14</v>
      </c>
      <c r="E85" s="117">
        <v>-6998.9</v>
      </c>
    </row>
    <row r="86" spans="1:8">
      <c r="A86">
        <v>2910</v>
      </c>
      <c r="B86" s="108" t="s">
        <v>166</v>
      </c>
      <c r="C86" s="106">
        <v>0</v>
      </c>
      <c r="D86" s="106">
        <v>0</v>
      </c>
      <c r="E86" s="117">
        <v>0</v>
      </c>
    </row>
    <row r="87" spans="1:8">
      <c r="A87">
        <v>2930</v>
      </c>
      <c r="B87" s="108" t="s">
        <v>583</v>
      </c>
      <c r="C87" s="106">
        <v>0</v>
      </c>
      <c r="D87" s="106">
        <v>-20058</v>
      </c>
      <c r="E87" s="117">
        <v>-20058</v>
      </c>
    </row>
    <row r="88" spans="1:8">
      <c r="A88">
        <v>2940</v>
      </c>
      <c r="B88" s="108" t="s">
        <v>168</v>
      </c>
      <c r="C88" s="106">
        <v>-47763.97</v>
      </c>
      <c r="D88" s="106">
        <v>-1873.69</v>
      </c>
      <c r="E88" s="117">
        <v>-49637.66</v>
      </c>
    </row>
    <row r="89" spans="1:8">
      <c r="A89">
        <v>2960</v>
      </c>
      <c r="B89" s="108" t="s">
        <v>584</v>
      </c>
      <c r="C89" s="106">
        <v>0</v>
      </c>
      <c r="D89" s="106">
        <v>-76950</v>
      </c>
      <c r="E89" s="117">
        <v>-76950</v>
      </c>
      <c r="F89" s="118">
        <f>SUM(E85:E89)+E74</f>
        <v>-161444.56</v>
      </c>
      <c r="G89" s="109">
        <f>SUM(F76:F89)</f>
        <v>-1827062.12</v>
      </c>
      <c r="H89" s="109">
        <f>SUM(G72:G89)</f>
        <v>-3608635.4400000013</v>
      </c>
    </row>
    <row r="90" spans="1:8">
      <c r="A90">
        <v>2961</v>
      </c>
      <c r="B90" s="108" t="s">
        <v>585</v>
      </c>
      <c r="C90" s="106">
        <v>-644755.65</v>
      </c>
      <c r="D90" s="106">
        <v>644755.65</v>
      </c>
      <c r="E90" s="106">
        <v>0</v>
      </c>
    </row>
    <row r="91" spans="1:8">
      <c r="A91">
        <v>0</v>
      </c>
      <c r="B91" s="108" t="s">
        <v>586</v>
      </c>
      <c r="C91" s="106">
        <f>SUM(C33:C90)</f>
        <v>-4177585.7900000005</v>
      </c>
      <c r="D91" s="106">
        <v>397583.43</v>
      </c>
      <c r="E91" s="106" t="s">
        <v>374</v>
      </c>
      <c r="F91" s="109" t="s">
        <v>374</v>
      </c>
    </row>
    <row r="92" spans="1:8">
      <c r="A92">
        <v>0</v>
      </c>
      <c r="B92" s="108"/>
      <c r="C92" s="106">
        <v>0</v>
      </c>
      <c r="D92" s="106">
        <v>0</v>
      </c>
      <c r="E92" s="106">
        <v>0</v>
      </c>
    </row>
    <row r="93" spans="1:8">
      <c r="A93">
        <v>3110</v>
      </c>
      <c r="B93" s="108" t="s">
        <v>176</v>
      </c>
      <c r="C93" s="106">
        <v>0</v>
      </c>
      <c r="D93" s="106">
        <v>-315533.52</v>
      </c>
      <c r="E93" s="125">
        <v>-315533.52</v>
      </c>
    </row>
    <row r="94" spans="1:8">
      <c r="A94">
        <v>3400</v>
      </c>
      <c r="B94" s="108" t="s">
        <v>182</v>
      </c>
      <c r="C94" s="106">
        <v>0</v>
      </c>
      <c r="D94" s="106">
        <v>-532597.46</v>
      </c>
      <c r="E94" s="119">
        <v>-532597.46</v>
      </c>
      <c r="F94" s="120">
        <f>E94</f>
        <v>-532597.46</v>
      </c>
    </row>
    <row r="95" spans="1:8">
      <c r="A95">
        <v>3430</v>
      </c>
      <c r="B95" s="108" t="s">
        <v>587</v>
      </c>
      <c r="C95" s="106">
        <v>0</v>
      </c>
      <c r="D95" s="106">
        <v>-8000</v>
      </c>
      <c r="E95" s="125">
        <v>-8000</v>
      </c>
    </row>
    <row r="96" spans="1:8">
      <c r="A96">
        <v>3440</v>
      </c>
      <c r="B96" s="108" t="s">
        <v>588</v>
      </c>
      <c r="C96" s="106">
        <v>0</v>
      </c>
      <c r="D96" s="106">
        <v>-206784</v>
      </c>
      <c r="E96" s="125">
        <v>-206784</v>
      </c>
    </row>
    <row r="97" spans="1:7">
      <c r="A97">
        <v>3480</v>
      </c>
      <c r="B97" s="108" t="s">
        <v>190</v>
      </c>
      <c r="C97" s="106">
        <v>0</v>
      </c>
      <c r="D97" s="106">
        <v>0</v>
      </c>
      <c r="E97" s="106">
        <v>0</v>
      </c>
    </row>
    <row r="98" spans="1:7">
      <c r="A98">
        <v>3490</v>
      </c>
      <c r="B98" s="108" t="s">
        <v>194</v>
      </c>
      <c r="C98" s="106">
        <v>0</v>
      </c>
      <c r="D98" s="106">
        <v>-329665.95</v>
      </c>
      <c r="E98" s="125">
        <v>-329665.95</v>
      </c>
    </row>
    <row r="99" spans="1:7">
      <c r="A99">
        <v>3610</v>
      </c>
      <c r="B99" s="108" t="s">
        <v>589</v>
      </c>
      <c r="C99" s="106">
        <v>0</v>
      </c>
      <c r="D99" s="106">
        <v>-180263.75</v>
      </c>
      <c r="E99" s="121">
        <v>-180263.75</v>
      </c>
    </row>
    <row r="100" spans="1:7">
      <c r="A100">
        <v>3630</v>
      </c>
      <c r="B100" s="108" t="s">
        <v>198</v>
      </c>
      <c r="C100" s="106">
        <v>0</v>
      </c>
      <c r="D100" s="106">
        <v>-2000</v>
      </c>
      <c r="E100" s="121">
        <v>-2000</v>
      </c>
      <c r="F100" s="122">
        <f>SUM(E99:E100)</f>
        <v>-182263.75</v>
      </c>
    </row>
    <row r="101" spans="1:7">
      <c r="A101">
        <v>3900</v>
      </c>
      <c r="B101" s="108" t="s">
        <v>590</v>
      </c>
      <c r="C101" s="106">
        <v>0</v>
      </c>
      <c r="D101" s="106">
        <v>-235867</v>
      </c>
      <c r="E101" s="125">
        <v>-235867</v>
      </c>
    </row>
    <row r="102" spans="1:7">
      <c r="A102">
        <v>3910</v>
      </c>
      <c r="B102" s="108" t="s">
        <v>591</v>
      </c>
      <c r="C102" s="106">
        <v>0</v>
      </c>
      <c r="D102" s="106">
        <v>-365</v>
      </c>
      <c r="E102" s="123">
        <v>-365</v>
      </c>
    </row>
    <row r="103" spans="1:7">
      <c r="A103">
        <v>3915</v>
      </c>
      <c r="B103" s="108" t="s">
        <v>204</v>
      </c>
      <c r="C103" s="106">
        <v>0</v>
      </c>
      <c r="D103" s="106">
        <v>-307170</v>
      </c>
      <c r="E103" s="123">
        <v>-307170</v>
      </c>
    </row>
    <row r="104" spans="1:7">
      <c r="A104">
        <v>3920</v>
      </c>
      <c r="B104" s="108" t="s">
        <v>592</v>
      </c>
      <c r="C104" s="106">
        <v>0</v>
      </c>
      <c r="D104" s="106">
        <v>-605767.4</v>
      </c>
      <c r="E104" s="123">
        <v>-605767.4</v>
      </c>
    </row>
    <row r="105" spans="1:7">
      <c r="A105">
        <v>3925</v>
      </c>
      <c r="B105" s="108" t="s">
        <v>208</v>
      </c>
      <c r="C105" s="106">
        <v>0</v>
      </c>
      <c r="D105" s="106">
        <v>-624576</v>
      </c>
      <c r="E105" s="123">
        <v>-624576</v>
      </c>
      <c r="F105" s="124">
        <f>SUM(E102:E105)</f>
        <v>-1537878.4</v>
      </c>
    </row>
    <row r="106" spans="1:7">
      <c r="A106">
        <v>3940</v>
      </c>
      <c r="B106" s="108" t="s">
        <v>212</v>
      </c>
      <c r="C106" s="106">
        <v>0</v>
      </c>
      <c r="D106" s="106">
        <v>-33000</v>
      </c>
      <c r="E106" s="125">
        <v>-33000</v>
      </c>
    </row>
    <row r="107" spans="1:7">
      <c r="A107">
        <v>3950</v>
      </c>
      <c r="B107" s="108" t="s">
        <v>214</v>
      </c>
      <c r="C107" s="106">
        <v>0</v>
      </c>
      <c r="D107" s="106">
        <v>-381753.12</v>
      </c>
      <c r="E107" s="125">
        <v>-381753.12</v>
      </c>
    </row>
    <row r="108" spans="1:7">
      <c r="A108">
        <v>3960</v>
      </c>
      <c r="B108" s="108" t="s">
        <v>216</v>
      </c>
      <c r="C108" s="106">
        <v>0</v>
      </c>
      <c r="D108" s="106">
        <v>-444075.39</v>
      </c>
      <c r="E108" s="125">
        <v>-444075.39</v>
      </c>
    </row>
    <row r="109" spans="1:7">
      <c r="A109">
        <v>3970</v>
      </c>
      <c r="B109" s="108" t="s">
        <v>218</v>
      </c>
      <c r="C109" s="106">
        <v>0</v>
      </c>
      <c r="D109" s="106">
        <v>-190426</v>
      </c>
      <c r="E109" s="125">
        <v>-190426</v>
      </c>
    </row>
    <row r="110" spans="1:7">
      <c r="A110">
        <v>3990</v>
      </c>
      <c r="B110" s="108" t="s">
        <v>220</v>
      </c>
      <c r="C110" s="106">
        <v>0</v>
      </c>
      <c r="D110" s="106">
        <v>-448572.96</v>
      </c>
      <c r="E110" s="125">
        <v>-448572.96</v>
      </c>
      <c r="F110" s="126">
        <f>E93+E95+E96+E98+E101+E106+E107+E108+E109+E110</f>
        <v>-2593677.94</v>
      </c>
      <c r="G110" s="109">
        <f>SUM(F94:F110)</f>
        <v>-4846417.55</v>
      </c>
    </row>
    <row r="111" spans="1:7">
      <c r="A111">
        <v>0</v>
      </c>
      <c r="B111" s="108" t="s">
        <v>593</v>
      </c>
      <c r="C111" s="106">
        <v>0</v>
      </c>
      <c r="D111" s="106">
        <v>-4846417.55</v>
      </c>
      <c r="E111" s="106">
        <v>-4846417.55</v>
      </c>
    </row>
    <row r="112" spans="1:7">
      <c r="A112">
        <v>0</v>
      </c>
      <c r="B112" s="108"/>
      <c r="C112" s="106">
        <v>0</v>
      </c>
      <c r="D112" s="106">
        <v>0</v>
      </c>
      <c r="E112" s="106">
        <v>0</v>
      </c>
    </row>
    <row r="113" spans="1:6">
      <c r="A113">
        <v>4210</v>
      </c>
      <c r="B113" s="108" t="s">
        <v>224</v>
      </c>
      <c r="C113" s="106">
        <v>0</v>
      </c>
      <c r="D113" s="106">
        <v>210606.71</v>
      </c>
      <c r="E113" s="119">
        <v>210606.71</v>
      </c>
    </row>
    <row r="114" spans="1:6">
      <c r="A114">
        <v>4500</v>
      </c>
      <c r="B114" s="108" t="s">
        <v>594</v>
      </c>
      <c r="C114" s="106">
        <v>0</v>
      </c>
      <c r="D114" s="106">
        <v>137247.9</v>
      </c>
      <c r="E114" s="119">
        <v>137247.9</v>
      </c>
      <c r="F114" s="120">
        <f>SUM(E113:E114)</f>
        <v>347854.61</v>
      </c>
    </row>
    <row r="115" spans="1:6">
      <c r="A115">
        <v>0</v>
      </c>
      <c r="B115" s="108" t="s">
        <v>595</v>
      </c>
      <c r="C115" s="106">
        <v>0</v>
      </c>
      <c r="D115" s="106">
        <v>347854.61</v>
      </c>
      <c r="E115" s="106">
        <v>347854.61</v>
      </c>
    </row>
    <row r="116" spans="1:6">
      <c r="A116">
        <v>0</v>
      </c>
      <c r="B116" s="108"/>
      <c r="C116" s="106">
        <v>0</v>
      </c>
      <c r="D116" s="106">
        <v>0</v>
      </c>
      <c r="E116" s="106">
        <v>0</v>
      </c>
    </row>
    <row r="117" spans="1:6">
      <c r="A117">
        <v>5010</v>
      </c>
      <c r="B117" s="108" t="s">
        <v>596</v>
      </c>
      <c r="C117" s="106">
        <v>0</v>
      </c>
      <c r="D117" s="106">
        <v>477247.28</v>
      </c>
      <c r="E117" s="116">
        <v>477247.28</v>
      </c>
    </row>
    <row r="118" spans="1:6">
      <c r="A118">
        <v>5011</v>
      </c>
      <c r="B118" s="108" t="s">
        <v>597</v>
      </c>
      <c r="C118" s="106">
        <v>0</v>
      </c>
      <c r="D118" s="106">
        <v>335770.5</v>
      </c>
      <c r="E118" s="116">
        <v>335770.5</v>
      </c>
    </row>
    <row r="119" spans="1:6">
      <c r="A119">
        <v>5015</v>
      </c>
      <c r="B119" s="108" t="s">
        <v>598</v>
      </c>
      <c r="C119" s="106">
        <v>0</v>
      </c>
      <c r="D119" s="106">
        <v>0</v>
      </c>
      <c r="E119" s="116">
        <v>0</v>
      </c>
    </row>
    <row r="120" spans="1:6">
      <c r="A120">
        <v>5020</v>
      </c>
      <c r="B120" s="108" t="s">
        <v>599</v>
      </c>
      <c r="C120" s="106">
        <v>0</v>
      </c>
      <c r="D120" s="106">
        <v>57269.68</v>
      </c>
      <c r="E120" s="116">
        <v>57269.68</v>
      </c>
    </row>
    <row r="121" spans="1:6">
      <c r="A121">
        <v>5250</v>
      </c>
      <c r="B121" s="108" t="s">
        <v>600</v>
      </c>
      <c r="C121" s="106">
        <v>0</v>
      </c>
      <c r="D121" s="106">
        <v>12409</v>
      </c>
      <c r="E121" s="116">
        <v>12409</v>
      </c>
    </row>
    <row r="122" spans="1:6">
      <c r="A122">
        <v>5270</v>
      </c>
      <c r="B122" s="108" t="s">
        <v>601</v>
      </c>
      <c r="C122" s="106">
        <v>0</v>
      </c>
      <c r="D122" s="106">
        <v>2700</v>
      </c>
      <c r="E122" s="116">
        <v>2700</v>
      </c>
    </row>
    <row r="123" spans="1:6">
      <c r="A123">
        <v>5290</v>
      </c>
      <c r="B123" s="108" t="s">
        <v>602</v>
      </c>
      <c r="C123" s="106">
        <v>0</v>
      </c>
      <c r="D123" s="106">
        <v>-12409</v>
      </c>
      <c r="E123" s="116">
        <v>-12409</v>
      </c>
    </row>
    <row r="124" spans="1:6">
      <c r="A124">
        <v>5350</v>
      </c>
      <c r="B124" s="108" t="s">
        <v>603</v>
      </c>
      <c r="C124" s="106">
        <v>0</v>
      </c>
      <c r="D124" s="106">
        <v>185504.34</v>
      </c>
      <c r="E124" s="116">
        <v>185504.34</v>
      </c>
    </row>
    <row r="125" spans="1:6">
      <c r="A125">
        <v>5351</v>
      </c>
      <c r="B125" s="108" t="s">
        <v>604</v>
      </c>
      <c r="C125" s="106">
        <v>0</v>
      </c>
      <c r="D125" s="106">
        <v>0</v>
      </c>
      <c r="E125" s="116">
        <v>0</v>
      </c>
    </row>
    <row r="126" spans="1:6">
      <c r="A126">
        <v>5400</v>
      </c>
      <c r="B126" s="108" t="s">
        <v>232</v>
      </c>
      <c r="C126" s="106">
        <v>0</v>
      </c>
      <c r="D126" s="106">
        <v>116765.89</v>
      </c>
      <c r="E126" s="116">
        <v>116765.89</v>
      </c>
    </row>
    <row r="127" spans="1:6">
      <c r="A127">
        <v>5401</v>
      </c>
      <c r="B127" s="108" t="s">
        <v>605</v>
      </c>
      <c r="C127" s="106">
        <v>0</v>
      </c>
      <c r="D127" s="106">
        <v>8074.97</v>
      </c>
      <c r="E127" s="116">
        <v>8074.97</v>
      </c>
    </row>
    <row r="128" spans="1:6">
      <c r="A128">
        <v>5500</v>
      </c>
      <c r="B128" s="108" t="s">
        <v>606</v>
      </c>
      <c r="C128" s="106">
        <v>0</v>
      </c>
      <c r="D128" s="106">
        <v>31457.67</v>
      </c>
      <c r="E128" s="116">
        <v>31457.67</v>
      </c>
    </row>
    <row r="129" spans="1:6">
      <c r="A129">
        <v>5945</v>
      </c>
      <c r="B129" s="108" t="s">
        <v>607</v>
      </c>
      <c r="C129" s="106">
        <v>0</v>
      </c>
      <c r="D129" s="106">
        <v>12409</v>
      </c>
      <c r="E129" s="116">
        <v>12409</v>
      </c>
    </row>
    <row r="130" spans="1:6">
      <c r="A130">
        <v>5990</v>
      </c>
      <c r="B130" s="108" t="s">
        <v>608</v>
      </c>
      <c r="C130" s="106">
        <v>0</v>
      </c>
      <c r="D130" s="106">
        <v>249545.18</v>
      </c>
      <c r="E130" s="116">
        <v>249545.18</v>
      </c>
      <c r="F130" s="127">
        <f>SUM(E117:E130)</f>
        <v>1476744.5099999998</v>
      </c>
    </row>
    <row r="131" spans="1:6">
      <c r="A131">
        <v>0</v>
      </c>
      <c r="B131" s="108" t="s">
        <v>609</v>
      </c>
      <c r="C131" s="106">
        <v>0</v>
      </c>
      <c r="D131" s="106">
        <v>1476744.51</v>
      </c>
      <c r="E131" s="106">
        <v>1476744.51</v>
      </c>
    </row>
    <row r="132" spans="1:6">
      <c r="A132">
        <v>0</v>
      </c>
      <c r="B132" s="108"/>
      <c r="C132" s="106">
        <v>0</v>
      </c>
      <c r="D132" s="106">
        <v>0</v>
      </c>
      <c r="E132" s="106">
        <v>0</v>
      </c>
    </row>
    <row r="133" spans="1:6">
      <c r="A133">
        <v>6010</v>
      </c>
      <c r="B133" s="108" t="s">
        <v>247</v>
      </c>
      <c r="C133" s="106">
        <v>0</v>
      </c>
      <c r="D133" s="106">
        <v>98436</v>
      </c>
      <c r="E133" s="117">
        <v>98436</v>
      </c>
    </row>
    <row r="134" spans="1:6">
      <c r="A134">
        <v>6110</v>
      </c>
      <c r="B134" s="108" t="s">
        <v>610</v>
      </c>
      <c r="C134" s="106">
        <v>0</v>
      </c>
      <c r="D134" s="106">
        <v>766.5</v>
      </c>
      <c r="E134" s="117">
        <v>766.5</v>
      </c>
    </row>
    <row r="135" spans="1:6">
      <c r="A135">
        <v>6320</v>
      </c>
      <c r="B135" s="108" t="s">
        <v>611</v>
      </c>
      <c r="C135" s="106">
        <v>0</v>
      </c>
      <c r="D135" s="106">
        <v>33812.230000000003</v>
      </c>
      <c r="E135" s="117">
        <v>33812.230000000003</v>
      </c>
    </row>
    <row r="136" spans="1:6">
      <c r="A136">
        <v>6340</v>
      </c>
      <c r="B136" s="108" t="s">
        <v>253</v>
      </c>
      <c r="C136" s="106">
        <v>0</v>
      </c>
      <c r="D136" s="106">
        <v>23621.88</v>
      </c>
      <c r="E136" s="117">
        <v>23621.88</v>
      </c>
    </row>
    <row r="137" spans="1:6">
      <c r="A137">
        <v>6390</v>
      </c>
      <c r="B137" s="108" t="s">
        <v>612</v>
      </c>
      <c r="C137" s="106">
        <v>0</v>
      </c>
      <c r="D137" s="106">
        <v>9528.75</v>
      </c>
      <c r="E137" s="117">
        <v>9528.75</v>
      </c>
    </row>
    <row r="138" spans="1:6">
      <c r="A138">
        <v>6410</v>
      </c>
      <c r="B138" s="108" t="s">
        <v>613</v>
      </c>
      <c r="C138" s="106">
        <v>0</v>
      </c>
      <c r="D138" s="106">
        <v>12304.88</v>
      </c>
      <c r="E138" s="117">
        <v>12304.88</v>
      </c>
    </row>
    <row r="139" spans="1:6">
      <c r="A139">
        <v>6420</v>
      </c>
      <c r="B139" s="108" t="s">
        <v>614</v>
      </c>
      <c r="C139" s="106">
        <v>0</v>
      </c>
      <c r="D139" s="106">
        <v>0</v>
      </c>
      <c r="E139" s="117">
        <v>0</v>
      </c>
    </row>
    <row r="140" spans="1:6">
      <c r="A140">
        <v>6500</v>
      </c>
      <c r="B140" s="108" t="s">
        <v>615</v>
      </c>
      <c r="C140" s="106">
        <v>0</v>
      </c>
      <c r="D140" s="106">
        <v>0</v>
      </c>
      <c r="E140" s="117">
        <v>0</v>
      </c>
    </row>
    <row r="141" spans="1:6">
      <c r="A141">
        <v>6540</v>
      </c>
      <c r="B141" s="108" t="s">
        <v>14</v>
      </c>
      <c r="C141" s="106">
        <v>0</v>
      </c>
      <c r="D141" s="106">
        <v>29629.06</v>
      </c>
      <c r="E141" s="117">
        <v>29629.06</v>
      </c>
    </row>
    <row r="142" spans="1:6">
      <c r="A142">
        <v>6550</v>
      </c>
      <c r="B142" s="108" t="s">
        <v>616</v>
      </c>
      <c r="C142" s="106">
        <v>0</v>
      </c>
      <c r="D142" s="106">
        <v>294394.86</v>
      </c>
      <c r="E142" s="117">
        <v>294394.86</v>
      </c>
    </row>
    <row r="143" spans="1:6">
      <c r="A143">
        <v>6600</v>
      </c>
      <c r="B143" s="108" t="s">
        <v>617</v>
      </c>
      <c r="C143" s="106">
        <v>0</v>
      </c>
      <c r="D143" s="106">
        <v>342852.06</v>
      </c>
      <c r="E143" s="117">
        <v>342852.06</v>
      </c>
    </row>
    <row r="144" spans="1:6">
      <c r="A144">
        <v>6620</v>
      </c>
      <c r="B144" s="108" t="s">
        <v>618</v>
      </c>
      <c r="C144" s="106">
        <v>0</v>
      </c>
      <c r="D144" s="106">
        <v>10254.59</v>
      </c>
      <c r="E144" s="117">
        <v>10254.59</v>
      </c>
    </row>
    <row r="145" spans="1:5">
      <c r="A145">
        <v>6700</v>
      </c>
      <c r="B145" s="108" t="s">
        <v>619</v>
      </c>
      <c r="C145" s="106">
        <v>0</v>
      </c>
      <c r="D145" s="106">
        <v>19800</v>
      </c>
      <c r="E145" s="117">
        <v>19800</v>
      </c>
    </row>
    <row r="146" spans="1:5">
      <c r="A146">
        <v>6712</v>
      </c>
      <c r="B146" s="108" t="s">
        <v>620</v>
      </c>
      <c r="C146" s="106">
        <v>0</v>
      </c>
      <c r="D146" s="106">
        <v>129649</v>
      </c>
      <c r="E146" s="117">
        <v>129649</v>
      </c>
    </row>
    <row r="147" spans="1:5">
      <c r="A147">
        <v>6730</v>
      </c>
      <c r="B147" s="108" t="s">
        <v>279</v>
      </c>
      <c r="C147" s="106">
        <v>0</v>
      </c>
      <c r="D147" s="106">
        <v>3400</v>
      </c>
      <c r="E147" s="117">
        <v>3400</v>
      </c>
    </row>
    <row r="148" spans="1:5">
      <c r="A148">
        <v>6790</v>
      </c>
      <c r="B148" s="108" t="s">
        <v>621</v>
      </c>
      <c r="C148" s="106">
        <v>0</v>
      </c>
      <c r="D148" s="106">
        <v>155460.44</v>
      </c>
      <c r="E148" s="117">
        <v>155460.44</v>
      </c>
    </row>
    <row r="149" spans="1:5">
      <c r="A149">
        <v>6800</v>
      </c>
      <c r="B149" s="108" t="s">
        <v>287</v>
      </c>
      <c r="C149" s="106">
        <v>0</v>
      </c>
      <c r="D149" s="106">
        <v>5419.9</v>
      </c>
      <c r="E149" s="117">
        <v>5419.9</v>
      </c>
    </row>
    <row r="150" spans="1:5">
      <c r="A150">
        <v>6810</v>
      </c>
      <c r="B150" s="108" t="s">
        <v>622</v>
      </c>
      <c r="C150" s="106">
        <v>0</v>
      </c>
      <c r="D150" s="106">
        <v>1355</v>
      </c>
      <c r="E150" s="117">
        <v>1355</v>
      </c>
    </row>
    <row r="151" spans="1:5">
      <c r="A151">
        <v>6811</v>
      </c>
      <c r="B151" s="108" t="s">
        <v>623</v>
      </c>
      <c r="C151" s="106">
        <v>0</v>
      </c>
      <c r="D151" s="106">
        <v>26256.5</v>
      </c>
      <c r="E151" s="117">
        <v>26256.5</v>
      </c>
    </row>
    <row r="152" spans="1:5">
      <c r="A152">
        <v>6820</v>
      </c>
      <c r="B152" s="108" t="s">
        <v>624</v>
      </c>
      <c r="C152" s="106">
        <v>0</v>
      </c>
      <c r="D152" s="106">
        <v>13155</v>
      </c>
      <c r="E152" s="117">
        <v>13155</v>
      </c>
    </row>
    <row r="153" spans="1:5">
      <c r="A153">
        <v>6840</v>
      </c>
      <c r="B153" s="108" t="s">
        <v>625</v>
      </c>
      <c r="C153" s="106">
        <v>0</v>
      </c>
      <c r="D153" s="106">
        <v>1238</v>
      </c>
      <c r="E153" s="117">
        <v>1238</v>
      </c>
    </row>
    <row r="154" spans="1:5">
      <c r="A154">
        <v>6860</v>
      </c>
      <c r="B154" s="108" t="s">
        <v>626</v>
      </c>
      <c r="C154" s="106">
        <v>0</v>
      </c>
      <c r="D154" s="106">
        <v>37115</v>
      </c>
      <c r="E154" s="117">
        <v>37115</v>
      </c>
    </row>
    <row r="155" spans="1:5">
      <c r="A155">
        <v>6900</v>
      </c>
      <c r="B155" s="108" t="s">
        <v>297</v>
      </c>
      <c r="C155" s="106">
        <v>0</v>
      </c>
      <c r="D155" s="106">
        <v>220.62</v>
      </c>
      <c r="E155" s="117">
        <v>220.62</v>
      </c>
    </row>
    <row r="156" spans="1:5">
      <c r="A156">
        <v>6940</v>
      </c>
      <c r="B156" s="108" t="s">
        <v>299</v>
      </c>
      <c r="C156" s="106">
        <v>0</v>
      </c>
      <c r="D156" s="106">
        <v>962.5</v>
      </c>
      <c r="E156" s="117">
        <v>962.5</v>
      </c>
    </row>
    <row r="157" spans="1:5">
      <c r="A157">
        <v>7100</v>
      </c>
      <c r="B157" s="108" t="s">
        <v>627</v>
      </c>
      <c r="C157" s="106">
        <v>0</v>
      </c>
      <c r="D157" s="106">
        <v>35357.050000000003</v>
      </c>
      <c r="E157" s="117">
        <v>35357.050000000003</v>
      </c>
    </row>
    <row r="158" spans="1:5">
      <c r="A158">
        <v>7110</v>
      </c>
      <c r="B158" s="108" t="s">
        <v>309</v>
      </c>
      <c r="C158" s="106">
        <v>0</v>
      </c>
      <c r="D158" s="106">
        <v>4359</v>
      </c>
      <c r="E158" s="117">
        <v>4359</v>
      </c>
    </row>
    <row r="159" spans="1:5">
      <c r="A159">
        <v>7160</v>
      </c>
      <c r="B159" s="108" t="s">
        <v>311</v>
      </c>
      <c r="C159" s="106">
        <v>0</v>
      </c>
      <c r="D159" s="106">
        <v>276834.87</v>
      </c>
      <c r="E159" s="117">
        <v>276834.87</v>
      </c>
    </row>
    <row r="160" spans="1:5">
      <c r="A160">
        <v>7170</v>
      </c>
      <c r="B160" s="108" t="s">
        <v>313</v>
      </c>
      <c r="C160" s="106">
        <v>0</v>
      </c>
      <c r="D160" s="106">
        <v>229470.89</v>
      </c>
      <c r="E160" s="117">
        <v>229470.89</v>
      </c>
    </row>
    <row r="161" spans="1:5">
      <c r="A161">
        <v>7180</v>
      </c>
      <c r="B161" s="108" t="s">
        <v>315</v>
      </c>
      <c r="C161" s="106">
        <v>0</v>
      </c>
      <c r="D161" s="106">
        <v>165790.48000000001</v>
      </c>
      <c r="E161" s="117">
        <v>165790.48000000001</v>
      </c>
    </row>
    <row r="162" spans="1:5">
      <c r="A162">
        <v>7190</v>
      </c>
      <c r="B162" s="108" t="s">
        <v>628</v>
      </c>
      <c r="C162" s="106">
        <v>0</v>
      </c>
      <c r="D162" s="106">
        <v>1425</v>
      </c>
      <c r="E162" s="117">
        <v>1425</v>
      </c>
    </row>
    <row r="163" spans="1:5">
      <c r="A163">
        <v>7320</v>
      </c>
      <c r="B163" s="108" t="s">
        <v>629</v>
      </c>
      <c r="C163" s="106">
        <v>0</v>
      </c>
      <c r="D163" s="106">
        <v>47850.5</v>
      </c>
      <c r="E163" s="117">
        <v>47850.5</v>
      </c>
    </row>
    <row r="164" spans="1:5">
      <c r="A164">
        <v>7350</v>
      </c>
      <c r="B164" s="108" t="s">
        <v>630</v>
      </c>
      <c r="C164" s="106">
        <v>0</v>
      </c>
      <c r="D164" s="106">
        <v>712.17</v>
      </c>
      <c r="E164" s="117">
        <v>712.17</v>
      </c>
    </row>
    <row r="165" spans="1:5">
      <c r="A165">
        <v>7360</v>
      </c>
      <c r="B165" s="108" t="s">
        <v>631</v>
      </c>
      <c r="C165" s="106">
        <v>0</v>
      </c>
      <c r="D165" s="106">
        <v>75995</v>
      </c>
      <c r="E165" s="117">
        <v>75995</v>
      </c>
    </row>
    <row r="166" spans="1:5">
      <c r="A166">
        <v>7410</v>
      </c>
      <c r="B166" s="108" t="s">
        <v>323</v>
      </c>
      <c r="C166" s="106">
        <v>0</v>
      </c>
      <c r="D166" s="106">
        <v>625223.06999999995</v>
      </c>
      <c r="E166" s="117">
        <v>625223.06999999995</v>
      </c>
    </row>
    <row r="167" spans="1:5">
      <c r="A167">
        <v>7420</v>
      </c>
      <c r="B167" s="108" t="s">
        <v>632</v>
      </c>
      <c r="C167" s="106">
        <v>0</v>
      </c>
      <c r="D167" s="106">
        <v>20089.560000000001</v>
      </c>
      <c r="E167" s="117">
        <v>20089.560000000001</v>
      </c>
    </row>
    <row r="168" spans="1:5">
      <c r="A168">
        <v>7430</v>
      </c>
      <c r="B168" s="108" t="s">
        <v>633</v>
      </c>
      <c r="C168" s="106">
        <v>0</v>
      </c>
      <c r="D168" s="106">
        <v>543.29999999999995</v>
      </c>
      <c r="E168" s="117">
        <v>543.29999999999995</v>
      </c>
    </row>
    <row r="169" spans="1:5">
      <c r="A169">
        <v>7500</v>
      </c>
      <c r="B169" s="108" t="s">
        <v>634</v>
      </c>
      <c r="C169" s="106">
        <v>0</v>
      </c>
      <c r="D169" s="106">
        <v>57957</v>
      </c>
      <c r="E169" s="117">
        <v>57957</v>
      </c>
    </row>
    <row r="170" spans="1:5">
      <c r="A170">
        <v>7510</v>
      </c>
      <c r="B170" s="108" t="s">
        <v>333</v>
      </c>
      <c r="C170" s="106">
        <v>0</v>
      </c>
      <c r="D170" s="106">
        <v>64200</v>
      </c>
      <c r="E170" s="117">
        <v>64200</v>
      </c>
    </row>
    <row r="171" spans="1:5">
      <c r="A171">
        <v>7700</v>
      </c>
      <c r="B171" s="108" t="s">
        <v>635</v>
      </c>
      <c r="C171" s="106">
        <v>0</v>
      </c>
      <c r="D171" s="106">
        <v>18592.91</v>
      </c>
      <c r="E171" s="117">
        <v>18592.91</v>
      </c>
    </row>
    <row r="172" spans="1:5">
      <c r="A172">
        <v>7720</v>
      </c>
      <c r="B172" s="108" t="s">
        <v>335</v>
      </c>
      <c r="C172" s="106">
        <v>0</v>
      </c>
      <c r="D172" s="106">
        <v>281363.63</v>
      </c>
      <c r="E172" s="117">
        <v>281363.63</v>
      </c>
    </row>
    <row r="173" spans="1:5">
      <c r="A173">
        <v>7740</v>
      </c>
      <c r="B173" s="108" t="s">
        <v>636</v>
      </c>
      <c r="C173" s="106">
        <v>0</v>
      </c>
      <c r="D173" s="106">
        <v>-3.03</v>
      </c>
      <c r="E173" s="117">
        <v>-3.03</v>
      </c>
    </row>
    <row r="174" spans="1:5">
      <c r="A174">
        <v>7770</v>
      </c>
      <c r="B174" s="108" t="s">
        <v>637</v>
      </c>
      <c r="C174" s="106">
        <v>0</v>
      </c>
      <c r="D174" s="106">
        <v>21158.11</v>
      </c>
      <c r="E174" s="117">
        <v>21158.11</v>
      </c>
    </row>
    <row r="175" spans="1:5">
      <c r="A175">
        <v>7790</v>
      </c>
      <c r="B175" s="108" t="s">
        <v>638</v>
      </c>
      <c r="C175" s="106">
        <v>0</v>
      </c>
      <c r="D175" s="106">
        <v>51095.519999999997</v>
      </c>
      <c r="E175" s="117">
        <v>51095.519999999997</v>
      </c>
    </row>
    <row r="176" spans="1:5">
      <c r="A176">
        <v>7792</v>
      </c>
      <c r="B176" s="108" t="s">
        <v>343</v>
      </c>
      <c r="C176" s="106">
        <v>0</v>
      </c>
      <c r="D176" s="106">
        <v>18267.02</v>
      </c>
      <c r="E176" s="117">
        <v>18267.02</v>
      </c>
    </row>
    <row r="177" spans="1:8">
      <c r="A177">
        <v>7830</v>
      </c>
      <c r="B177" s="108" t="s">
        <v>639</v>
      </c>
      <c r="C177" s="106">
        <v>0</v>
      </c>
      <c r="D177" s="106">
        <v>0</v>
      </c>
      <c r="E177" s="117">
        <v>0</v>
      </c>
      <c r="F177" s="118">
        <f>SUM(E133:E177)</f>
        <v>3245914.82</v>
      </c>
    </row>
    <row r="178" spans="1:8">
      <c r="A178">
        <v>0</v>
      </c>
      <c r="B178" s="108" t="s">
        <v>655</v>
      </c>
      <c r="C178" s="106">
        <v>0</v>
      </c>
      <c r="D178" s="106">
        <v>1996282.05</v>
      </c>
      <c r="E178" s="106">
        <f>SUM(E133:E177)</f>
        <v>3245914.82</v>
      </c>
    </row>
    <row r="179" spans="1:8">
      <c r="A179">
        <v>0</v>
      </c>
      <c r="B179" s="108"/>
      <c r="C179" s="106">
        <v>0</v>
      </c>
      <c r="D179" s="106">
        <v>0</v>
      </c>
      <c r="E179" s="106">
        <v>0</v>
      </c>
    </row>
    <row r="180" spans="1:8">
      <c r="A180">
        <v>8050</v>
      </c>
      <c r="B180" s="108" t="s">
        <v>640</v>
      </c>
      <c r="C180" s="106">
        <v>0</v>
      </c>
      <c r="D180" s="106">
        <v>-49255.01</v>
      </c>
      <c r="E180" s="119">
        <v>-49255.01</v>
      </c>
    </row>
    <row r="181" spans="1:8">
      <c r="A181">
        <v>8070</v>
      </c>
      <c r="B181" s="108" t="s">
        <v>389</v>
      </c>
      <c r="C181" s="106">
        <v>0</v>
      </c>
      <c r="D181" s="106">
        <v>-5219.1400000000003</v>
      </c>
      <c r="E181" s="119">
        <v>-5219.1400000000003</v>
      </c>
      <c r="F181" s="120">
        <f>SUM(E180:E181)</f>
        <v>-54474.15</v>
      </c>
    </row>
    <row r="182" spans="1:8">
      <c r="A182">
        <v>8153</v>
      </c>
      <c r="B182" s="108" t="s">
        <v>641</v>
      </c>
      <c r="C182" s="106">
        <v>0</v>
      </c>
      <c r="D182" s="106">
        <v>1744.68</v>
      </c>
      <c r="E182" s="128">
        <v>1744.68</v>
      </c>
      <c r="F182" s="129">
        <f>E182</f>
        <v>1744.68</v>
      </c>
      <c r="G182" s="109">
        <f>SUM(F114:F182)</f>
        <v>5017784.4699999988</v>
      </c>
      <c r="H182" s="109">
        <f>SUM(G110:G182)</f>
        <v>171366.91999999899</v>
      </c>
    </row>
    <row r="183" spans="1:8">
      <c r="A183">
        <v>0</v>
      </c>
      <c r="B183" s="108" t="s">
        <v>642</v>
      </c>
      <c r="C183" s="106">
        <v>0</v>
      </c>
      <c r="D183" s="106">
        <v>-52729.47</v>
      </c>
      <c r="E183" s="106">
        <v>-52729.47</v>
      </c>
    </row>
    <row r="185" spans="1:8">
      <c r="B185" s="108" t="s">
        <v>643</v>
      </c>
      <c r="D185" s="106">
        <f>H182</f>
        <v>171366.91999999899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96"/>
  <sheetViews>
    <sheetView topLeftCell="A58" workbookViewId="0">
      <selection activeCell="B74" sqref="B74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4" ht="23.4">
      <c r="A1" s="2" t="s">
        <v>421</v>
      </c>
    </row>
    <row r="2" spans="1:4" s="4" customFormat="1">
      <c r="A2" s="3"/>
      <c r="B2" s="3"/>
    </row>
    <row r="3" spans="1:4" s="4" customFormat="1">
      <c r="A3" s="3"/>
      <c r="B3" s="3"/>
    </row>
    <row r="4" spans="1:4" s="4" customFormat="1">
      <c r="A4" s="3"/>
      <c r="B4" s="3"/>
    </row>
    <row r="6" spans="1:4">
      <c r="B6" s="5" t="s">
        <v>376</v>
      </c>
      <c r="C6" s="375" t="s">
        <v>377</v>
      </c>
      <c r="D6" s="375"/>
    </row>
    <row r="7" spans="1:4">
      <c r="B7" s="5"/>
      <c r="C7" s="5" t="s">
        <v>378</v>
      </c>
      <c r="D7" s="5" t="s">
        <v>422</v>
      </c>
    </row>
    <row r="8" spans="1:4">
      <c r="A8" s="3" t="s">
        <v>379</v>
      </c>
      <c r="B8" s="5" t="s">
        <v>374</v>
      </c>
    </row>
    <row r="9" spans="1:4">
      <c r="A9" t="s">
        <v>423</v>
      </c>
      <c r="B9" s="5"/>
      <c r="C9" s="7">
        <f>'Saldobalanse 2012 og 2013'!D91*-1</f>
        <v>643200</v>
      </c>
      <c r="D9" s="7">
        <v>1360400</v>
      </c>
    </row>
    <row r="10" spans="1:4">
      <c r="A10" t="s">
        <v>424</v>
      </c>
      <c r="B10" s="5"/>
      <c r="C10" s="7">
        <f>'Saldobalanse 2012 og 2013'!D104*-1</f>
        <v>1438668.65</v>
      </c>
      <c r="D10" s="7">
        <v>1525560</v>
      </c>
    </row>
    <row r="11" spans="1:4">
      <c r="A11" t="s">
        <v>425</v>
      </c>
      <c r="B11" s="5"/>
      <c r="C11" s="7">
        <f>'Saldobalanse 2012 og 2013'!D99*-1</f>
        <v>183037.75</v>
      </c>
      <c r="D11" s="7">
        <v>286934</v>
      </c>
    </row>
    <row r="12" spans="1:4">
      <c r="A12" t="s">
        <v>220</v>
      </c>
      <c r="B12" s="5"/>
      <c r="C12" s="8">
        <f>'Saldobalanse 2012 og 2013'!D110*-1</f>
        <v>2036972.6400000001</v>
      </c>
      <c r="D12" s="8">
        <v>2203356</v>
      </c>
    </row>
    <row r="13" spans="1:4">
      <c r="A13" s="3" t="s">
        <v>381</v>
      </c>
      <c r="B13" s="5"/>
      <c r="C13" s="9">
        <f>SUM(C9:C12)</f>
        <v>4301879.04</v>
      </c>
      <c r="D13" s="9">
        <f>SUM(D9:D12)</f>
        <v>5376250</v>
      </c>
    </row>
    <row r="14" spans="1:4">
      <c r="B14" s="5"/>
      <c r="C14" s="7"/>
      <c r="D14" s="7"/>
    </row>
    <row r="15" spans="1:4">
      <c r="A15" s="3" t="s">
        <v>382</v>
      </c>
      <c r="B15" s="5"/>
      <c r="C15" s="7"/>
      <c r="D15" s="7"/>
    </row>
    <row r="16" spans="1:4">
      <c r="A16" t="s">
        <v>383</v>
      </c>
      <c r="B16" s="5" t="s">
        <v>374</v>
      </c>
      <c r="C16" s="7">
        <f>'Saldobalanse 2012 og 2013'!D114</f>
        <v>194847.32</v>
      </c>
      <c r="D16" s="7">
        <v>219885</v>
      </c>
    </row>
    <row r="17" spans="1:4">
      <c r="A17" t="s">
        <v>384</v>
      </c>
      <c r="B17" s="5" t="s">
        <v>374</v>
      </c>
      <c r="C17" s="7">
        <f>'Saldobalanse 2012 og 2013'!D126</f>
        <v>761696.44</v>
      </c>
      <c r="D17" s="7">
        <v>1026378</v>
      </c>
    </row>
    <row r="18" spans="1:4">
      <c r="A18" t="s">
        <v>385</v>
      </c>
      <c r="B18" s="5"/>
      <c r="C18" s="8">
        <f>'Saldobalanse 2012 og 2013'!D179</f>
        <v>3823346.850000001</v>
      </c>
      <c r="D18" s="8">
        <v>3796204</v>
      </c>
    </row>
    <row r="19" spans="1:4">
      <c r="A19" s="3" t="s">
        <v>386</v>
      </c>
      <c r="B19" s="5"/>
      <c r="C19" s="9">
        <f>SUM(C16:C18)</f>
        <v>4779890.6100000013</v>
      </c>
      <c r="D19" s="9">
        <f>SUM(D16:D18)</f>
        <v>5042467</v>
      </c>
    </row>
    <row r="20" spans="1:4">
      <c r="B20" s="5"/>
      <c r="C20" s="7"/>
      <c r="D20" s="7"/>
    </row>
    <row r="21" spans="1:4">
      <c r="A21" s="3" t="s">
        <v>387</v>
      </c>
      <c r="B21" s="5"/>
      <c r="C21" s="9">
        <f>C13-C19</f>
        <v>-478011.57000000123</v>
      </c>
      <c r="D21" s="9">
        <f>D13-D19</f>
        <v>333783</v>
      </c>
    </row>
    <row r="22" spans="1:4">
      <c r="B22" s="5"/>
      <c r="C22" s="7"/>
      <c r="D22" s="7"/>
    </row>
    <row r="23" spans="1:4">
      <c r="A23" s="3" t="s">
        <v>388</v>
      </c>
      <c r="B23" s="5"/>
      <c r="C23" s="7"/>
      <c r="D23" s="7"/>
    </row>
    <row r="24" spans="1:4">
      <c r="A24" t="s">
        <v>389</v>
      </c>
      <c r="B24" s="5"/>
      <c r="C24" s="7">
        <f>'Saldobalanse 2012 og 2013'!D181*-1</f>
        <v>52557.280000000006</v>
      </c>
      <c r="D24" s="7">
        <v>57792</v>
      </c>
    </row>
    <row r="25" spans="1:4">
      <c r="A25" t="s">
        <v>390</v>
      </c>
      <c r="B25" s="5"/>
      <c r="C25" s="8">
        <f>'Saldobalanse 2012 og 2013'!D185</f>
        <v>1773.7900000000002</v>
      </c>
      <c r="D25" s="8">
        <v>5368</v>
      </c>
    </row>
    <row r="26" spans="1:4">
      <c r="A26" s="3" t="s">
        <v>391</v>
      </c>
      <c r="B26" s="5"/>
      <c r="C26" s="9">
        <f>C24-C25</f>
        <v>50783.490000000005</v>
      </c>
      <c r="D26" s="9">
        <f>D24-D25</f>
        <v>52424</v>
      </c>
    </row>
    <row r="27" spans="1:4">
      <c r="A27" s="3"/>
      <c r="B27" s="5"/>
      <c r="C27" s="9"/>
      <c r="D27" s="9"/>
    </row>
    <row r="28" spans="1:4">
      <c r="A28" s="3" t="s">
        <v>392</v>
      </c>
      <c r="B28" s="5"/>
      <c r="C28" s="9">
        <f>C21+C26</f>
        <v>-427228.08000000124</v>
      </c>
      <c r="D28" s="9">
        <f>D21+D26</f>
        <v>386207</v>
      </c>
    </row>
    <row r="29" spans="1:4">
      <c r="B29" s="5"/>
      <c r="C29" s="7"/>
      <c r="D29" s="7"/>
    </row>
    <row r="30" spans="1:4">
      <c r="A30" s="3" t="s">
        <v>393</v>
      </c>
      <c r="B30" s="5"/>
      <c r="C30" s="7"/>
      <c r="D30" s="7"/>
    </row>
    <row r="31" spans="1:4">
      <c r="A31" t="s">
        <v>394</v>
      </c>
      <c r="B31" s="5"/>
      <c r="C31" s="8">
        <f>C28</f>
        <v>-427228.08000000124</v>
      </c>
      <c r="D31" s="8">
        <f>D28</f>
        <v>386207</v>
      </c>
    </row>
    <row r="32" spans="1:4">
      <c r="A32" s="3" t="s">
        <v>395</v>
      </c>
      <c r="B32" s="5"/>
      <c r="C32" s="9">
        <f>SUM(C31)</f>
        <v>-427228.08000000124</v>
      </c>
      <c r="D32" s="9">
        <f>SUM(D31)</f>
        <v>386207</v>
      </c>
    </row>
    <row r="33" spans="1:4">
      <c r="B33" s="5"/>
      <c r="C33" s="7"/>
      <c r="D33" s="7"/>
    </row>
    <row r="34" spans="1:4">
      <c r="B34" s="5"/>
      <c r="C34" s="7"/>
      <c r="D34" s="7"/>
    </row>
    <row r="35" spans="1:4">
      <c r="B35" s="5"/>
      <c r="C35" s="7"/>
      <c r="D35" s="7"/>
    </row>
    <row r="36" spans="1:4" ht="23.4">
      <c r="A36" s="2" t="s">
        <v>426</v>
      </c>
      <c r="B36" s="5"/>
    </row>
    <row r="37" spans="1:4" s="4" customFormat="1">
      <c r="B37" s="5"/>
    </row>
    <row r="38" spans="1:4" s="4" customFormat="1">
      <c r="B38" s="5"/>
      <c r="C38" s="375" t="s">
        <v>396</v>
      </c>
      <c r="D38" s="375"/>
    </row>
    <row r="39" spans="1:4">
      <c r="B39" s="5" t="s">
        <v>376</v>
      </c>
      <c r="C39" s="5" t="s">
        <v>378</v>
      </c>
      <c r="D39" s="5" t="s">
        <v>422</v>
      </c>
    </row>
    <row r="40" spans="1:4">
      <c r="A40" s="3" t="s">
        <v>397</v>
      </c>
      <c r="B40" s="5"/>
    </row>
    <row r="41" spans="1:4">
      <c r="A41" s="3" t="s">
        <v>398</v>
      </c>
      <c r="B41" s="5"/>
      <c r="C41" s="17"/>
      <c r="D41" s="17"/>
    </row>
    <row r="42" spans="1:4" s="16" customFormat="1">
      <c r="A42" s="15" t="s">
        <v>428</v>
      </c>
      <c r="B42" s="6" t="s">
        <v>521</v>
      </c>
      <c r="C42" s="20">
        <f>'Saldobalanse 2012 og 2013'!D2</f>
        <v>141569.58000000002</v>
      </c>
      <c r="D42" s="21">
        <v>74036</v>
      </c>
    </row>
    <row r="43" spans="1:4">
      <c r="A43" s="10" t="s">
        <v>399</v>
      </c>
      <c r="B43" s="5" t="s">
        <v>522</v>
      </c>
      <c r="C43" s="7">
        <f>'Saldobalanse 2012 og 2013'!D5</f>
        <v>1405871.8</v>
      </c>
      <c r="D43" s="19">
        <v>1432447</v>
      </c>
    </row>
    <row r="44" spans="1:4">
      <c r="A44" s="10" t="s">
        <v>429</v>
      </c>
      <c r="B44" s="5" t="s">
        <v>405</v>
      </c>
      <c r="C44" s="8">
        <f>'Saldobalanse 2012 og 2013'!D7</f>
        <v>32335.83</v>
      </c>
      <c r="D44" s="8">
        <v>69737</v>
      </c>
    </row>
    <row r="45" spans="1:4">
      <c r="A45" s="3" t="s">
        <v>400</v>
      </c>
      <c r="B45" s="5"/>
      <c r="C45" s="9">
        <f>SUM(C42:C44)</f>
        <v>1579777.2100000002</v>
      </c>
      <c r="D45" s="9">
        <f>SUM(D42:D44)</f>
        <v>1576220</v>
      </c>
    </row>
    <row r="46" spans="1:4">
      <c r="B46" s="5"/>
      <c r="C46" s="7"/>
      <c r="D46" s="7"/>
    </row>
    <row r="47" spans="1:4">
      <c r="A47" s="3" t="s">
        <v>401</v>
      </c>
      <c r="B47" s="5"/>
      <c r="D47" s="7"/>
    </row>
    <row r="48" spans="1:4">
      <c r="A48" t="s">
        <v>402</v>
      </c>
      <c r="B48" s="5" t="s">
        <v>380</v>
      </c>
      <c r="C48" s="7">
        <f>'Saldobalanse 2012 og 2013'!D8</f>
        <v>67310.5</v>
      </c>
      <c r="D48" s="7">
        <v>67311</v>
      </c>
    </row>
    <row r="49" spans="1:4">
      <c r="A49" t="s">
        <v>22</v>
      </c>
      <c r="B49" s="5" t="s">
        <v>380</v>
      </c>
      <c r="C49" s="7">
        <f>'Saldobalanse 2012 og 2013'!D10</f>
        <v>30160.540000000008</v>
      </c>
      <c r="D49" s="7">
        <v>16550</v>
      </c>
    </row>
    <row r="50" spans="1:4">
      <c r="A50" t="s">
        <v>403</v>
      </c>
      <c r="B50" s="5" t="s">
        <v>380</v>
      </c>
      <c r="C50" s="7">
        <f>'Saldobalanse 2012 og 2013'!D12</f>
        <v>201225.22</v>
      </c>
      <c r="D50" s="7">
        <v>291116</v>
      </c>
    </row>
    <row r="51" spans="1:4">
      <c r="A51" s="16" t="s">
        <v>430</v>
      </c>
      <c r="B51" s="5" t="s">
        <v>409</v>
      </c>
      <c r="C51" s="7">
        <f>'Saldobalanse 2012 og 2013'!D16</f>
        <v>287024.29000000004</v>
      </c>
      <c r="D51" s="7">
        <v>287024</v>
      </c>
    </row>
    <row r="52" spans="1:4">
      <c r="A52" t="s">
        <v>404</v>
      </c>
      <c r="B52" s="5" t="s">
        <v>414</v>
      </c>
      <c r="C52" s="8">
        <f>'Saldobalanse 2012 og 2013'!D26</f>
        <v>2012088.03</v>
      </c>
      <c r="D52" s="8">
        <v>1993624</v>
      </c>
    </row>
    <row r="53" spans="1:4">
      <c r="A53" s="3" t="s">
        <v>406</v>
      </c>
      <c r="B53" s="5"/>
      <c r="C53" s="9">
        <f>SUM(C48:C52)</f>
        <v>2597808.58</v>
      </c>
      <c r="D53" s="9">
        <f>SUM(D48:D52)</f>
        <v>2655625</v>
      </c>
    </row>
    <row r="54" spans="1:4">
      <c r="B54" s="5"/>
      <c r="C54" s="7"/>
      <c r="D54" s="7"/>
    </row>
    <row r="55" spans="1:4">
      <c r="A55" s="3" t="s">
        <v>407</v>
      </c>
      <c r="B55" s="5"/>
      <c r="C55" s="9">
        <f>C45+C53</f>
        <v>4177585.79</v>
      </c>
      <c r="D55" s="9">
        <f>D45+D53</f>
        <v>4231845</v>
      </c>
    </row>
    <row r="56" spans="1:4">
      <c r="B56" s="5"/>
      <c r="D56" s="7"/>
    </row>
    <row r="57" spans="1:4">
      <c r="B57" s="77"/>
      <c r="D57" s="7"/>
    </row>
    <row r="58" spans="1:4" ht="21">
      <c r="A58" s="98" t="str">
        <f>A36</f>
        <v>Balanse pr 31.12.2013 for Oslostudentenes Idrettsklubb</v>
      </c>
      <c r="B58" s="77"/>
      <c r="D58" s="7"/>
    </row>
    <row r="59" spans="1:4">
      <c r="B59" s="77"/>
      <c r="D59" s="7"/>
    </row>
    <row r="60" spans="1:4">
      <c r="B60" s="77"/>
      <c r="C60" s="393" t="s">
        <v>396</v>
      </c>
      <c r="D60" s="393"/>
    </row>
    <row r="61" spans="1:4">
      <c r="B61" s="77" t="s">
        <v>376</v>
      </c>
      <c r="C61" s="99" t="str">
        <f>C39</f>
        <v>2 0 1 3</v>
      </c>
      <c r="D61" s="100" t="str">
        <f>D39</f>
        <v>2 0 1 2</v>
      </c>
    </row>
    <row r="62" spans="1:4">
      <c r="A62" s="3" t="s">
        <v>408</v>
      </c>
      <c r="B62" s="5"/>
      <c r="D62" s="7"/>
    </row>
    <row r="63" spans="1:4">
      <c r="A63" s="16" t="s">
        <v>431</v>
      </c>
      <c r="B63" s="5" t="s">
        <v>412</v>
      </c>
      <c r="C63" s="7">
        <f>'Saldobalanse 2012 og 2013'!D62</f>
        <v>-637309.85000000009</v>
      </c>
      <c r="D63" s="7">
        <v>-730438</v>
      </c>
    </row>
    <row r="64" spans="1:4">
      <c r="A64" s="16" t="s">
        <v>432</v>
      </c>
      <c r="B64" s="5"/>
      <c r="C64" s="8">
        <f>'Saldobalanse 2012 og 2013'!D67</f>
        <v>-1315630.3900000001</v>
      </c>
      <c r="D64" s="8">
        <v>-1649730</v>
      </c>
    </row>
    <row r="65" spans="1:4">
      <c r="A65" s="3" t="s">
        <v>410</v>
      </c>
      <c r="B65" s="5"/>
      <c r="C65" s="9">
        <f>SUM(C63:C64)</f>
        <v>-1952940.2400000002</v>
      </c>
      <c r="D65" s="9">
        <f>SUM(D63:D64)</f>
        <v>-2380168</v>
      </c>
    </row>
    <row r="66" spans="1:4">
      <c r="B66" s="5"/>
      <c r="D66" s="7"/>
    </row>
    <row r="67" spans="1:4">
      <c r="A67" s="3" t="s">
        <v>411</v>
      </c>
      <c r="B67" s="5"/>
      <c r="D67" s="7"/>
    </row>
    <row r="68" spans="1:4">
      <c r="A68" s="16" t="s">
        <v>433</v>
      </c>
      <c r="B68" s="5" t="s">
        <v>522</v>
      </c>
      <c r="C68" s="7">
        <f>'Saldobalanse 2012 og 2013'!D75</f>
        <v>-20000</v>
      </c>
      <c r="D68" s="7">
        <v>-20000</v>
      </c>
    </row>
    <row r="69" spans="1:4">
      <c r="A69" t="s">
        <v>413</v>
      </c>
      <c r="B69" s="5" t="s">
        <v>522</v>
      </c>
      <c r="C69" s="8">
        <f>'Saldobalanse 2012 og 2013'!D70</f>
        <v>-1312790</v>
      </c>
      <c r="D69" s="8">
        <v>-1312790</v>
      </c>
    </row>
    <row r="70" spans="1:4">
      <c r="A70" s="3" t="s">
        <v>415</v>
      </c>
      <c r="B70" s="5"/>
      <c r="C70" s="9">
        <f>SUM(C68:C69)</f>
        <v>-1332790</v>
      </c>
      <c r="D70" s="9">
        <f>SUM(D68:D69)</f>
        <v>-1332790</v>
      </c>
    </row>
    <row r="71" spans="1:4">
      <c r="B71" s="5"/>
      <c r="D71" s="7"/>
    </row>
    <row r="72" spans="1:4">
      <c r="A72" s="3" t="s">
        <v>416</v>
      </c>
      <c r="B72" s="5"/>
      <c r="D72" s="7"/>
    </row>
    <row r="73" spans="1:4">
      <c r="A73" t="s">
        <v>144</v>
      </c>
      <c r="B73" s="5"/>
      <c r="C73" s="7">
        <f>'Saldobalanse 2012 og 2013'!D71</f>
        <v>-172704.91</v>
      </c>
      <c r="D73" s="7">
        <v>-183642</v>
      </c>
    </row>
    <row r="74" spans="1:4">
      <c r="A74" t="s">
        <v>417</v>
      </c>
      <c r="B74" s="5" t="s">
        <v>414</v>
      </c>
      <c r="C74" s="7">
        <f>'Saldobalanse 2012 og 2013'!D79</f>
        <v>-12047.869999999999</v>
      </c>
      <c r="D74" s="7">
        <v>-64378</v>
      </c>
    </row>
    <row r="75" spans="1:4">
      <c r="A75" t="s">
        <v>146</v>
      </c>
      <c r="B75" s="5" t="s">
        <v>374</v>
      </c>
      <c r="C75" s="8">
        <f>'Saldobalanse 2012 og 2013'!D86</f>
        <v>-707102.77</v>
      </c>
      <c r="D75" s="8">
        <v>-270867</v>
      </c>
    </row>
    <row r="76" spans="1:4">
      <c r="A76" s="3" t="s">
        <v>418</v>
      </c>
      <c r="B76" s="5"/>
      <c r="C76" s="9">
        <f>SUM(C73:C75)</f>
        <v>-891855.55</v>
      </c>
      <c r="D76" s="9">
        <f>SUM(D73:D75)</f>
        <v>-518887</v>
      </c>
    </row>
    <row r="77" spans="1:4">
      <c r="B77" s="5"/>
      <c r="D77" s="7"/>
    </row>
    <row r="78" spans="1:4">
      <c r="A78" s="3" t="s">
        <v>419</v>
      </c>
      <c r="B78" s="5"/>
      <c r="C78" s="9">
        <f>C65+C70+C76</f>
        <v>-4177585.79</v>
      </c>
      <c r="D78" s="9">
        <f>D65+D70+D76</f>
        <v>-4231845</v>
      </c>
    </row>
    <row r="80" spans="1:4">
      <c r="B80" s="3" t="s">
        <v>427</v>
      </c>
    </row>
    <row r="82" spans="1:4" ht="13.2">
      <c r="A82" s="95" t="s">
        <v>536</v>
      </c>
      <c r="B82" s="96" t="s">
        <v>420</v>
      </c>
      <c r="D82" s="96" t="s">
        <v>420</v>
      </c>
    </row>
    <row r="83" spans="1:4" ht="13.2">
      <c r="A83" s="95"/>
      <c r="B83" s="96"/>
      <c r="D83" s="96"/>
    </row>
    <row r="84" spans="1:4" ht="13.2">
      <c r="A84" s="95" t="s">
        <v>420</v>
      </c>
      <c r="B84" s="96" t="s">
        <v>420</v>
      </c>
      <c r="D84" s="96" t="s">
        <v>420</v>
      </c>
    </row>
    <row r="85" spans="1:4" ht="13.2">
      <c r="A85" s="11"/>
      <c r="B85" s="11"/>
      <c r="C85" s="16" t="s">
        <v>374</v>
      </c>
      <c r="D85" s="11"/>
    </row>
    <row r="86" spans="1:4" ht="13.2">
      <c r="A86" s="11" t="s">
        <v>420</v>
      </c>
      <c r="B86" s="97" t="s">
        <v>420</v>
      </c>
      <c r="D86" s="97" t="s">
        <v>420</v>
      </c>
    </row>
    <row r="87" spans="1:4" ht="13.2">
      <c r="A87" s="11"/>
      <c r="B87" s="12"/>
      <c r="C87" s="11"/>
      <c r="D87" s="11"/>
    </row>
    <row r="88" spans="1:4" ht="13.2">
      <c r="A88" s="11" t="s">
        <v>420</v>
      </c>
      <c r="B88" s="13" t="s">
        <v>420</v>
      </c>
      <c r="C88" s="11"/>
      <c r="D88" s="97" t="s">
        <v>420</v>
      </c>
    </row>
    <row r="89" spans="1:4" ht="13.2">
      <c r="A89" s="11"/>
      <c r="B89" s="12"/>
      <c r="C89" s="11"/>
    </row>
    <row r="90" spans="1:4" ht="13.2">
      <c r="A90" s="11"/>
      <c r="B90" s="12"/>
      <c r="C90" s="11"/>
    </row>
    <row r="91" spans="1:4" ht="13.2">
      <c r="A91" s="11"/>
      <c r="B91" s="12"/>
      <c r="C91" s="11"/>
      <c r="D91" s="11"/>
    </row>
    <row r="92" spans="1:4" ht="13.2">
      <c r="A92" s="11"/>
      <c r="B92" s="12"/>
      <c r="C92" s="11"/>
      <c r="D92" s="11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3"/>
    </row>
    <row r="95" spans="1:4" ht="13.2">
      <c r="A95" s="11"/>
      <c r="B95" s="12"/>
      <c r="C95" s="11"/>
      <c r="D95" s="11"/>
    </row>
    <row r="96" spans="1:4">
      <c r="A96" s="14"/>
      <c r="C96" s="14"/>
      <c r="D96" s="14"/>
    </row>
  </sheetData>
  <mergeCells count="3">
    <mergeCell ref="C6:D6"/>
    <mergeCell ref="C38:D38"/>
    <mergeCell ref="C60:D60"/>
  </mergeCells>
  <pageMargins left="0.7" right="0.7" top="0.75" bottom="0.75" header="0.3" footer="0.3"/>
  <pageSetup paperSize="9" fitToHeight="0" orientation="portrait" r:id="rId1"/>
  <rowBreaks count="2" manualBreakCount="2">
    <brk id="34" max="16383" man="1"/>
    <brk id="5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32"/>
  <sheetViews>
    <sheetView topLeftCell="A73" workbookViewId="0">
      <selection sqref="A1:XFD1048576"/>
    </sheetView>
  </sheetViews>
  <sheetFormatPr baseColWidth="10" defaultColWidth="10.33203125" defaultRowHeight="13.2"/>
  <cols>
    <col min="1" max="1" width="7.6640625" style="51" customWidth="1"/>
    <col min="2" max="2" width="29.44140625" style="51" customWidth="1"/>
    <col min="3" max="3" width="14" style="51" customWidth="1"/>
    <col min="4" max="4" width="15.88671875" style="51" customWidth="1"/>
    <col min="5" max="6" width="13.5546875" style="51" bestFit="1" customWidth="1"/>
    <col min="7" max="7" width="15" style="51" bestFit="1" customWidth="1"/>
    <col min="8" max="8" width="10.33203125" style="5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52"/>
      <c r="I1" s="51"/>
    </row>
    <row r="2" spans="1:9" ht="15.6">
      <c r="A2" s="49" t="s">
        <v>484</v>
      </c>
      <c r="B2" s="50"/>
      <c r="C2" s="53"/>
      <c r="I2" s="51"/>
    </row>
    <row r="3" spans="1:9">
      <c r="A3" s="50"/>
      <c r="B3" s="50"/>
      <c r="I3" s="51"/>
    </row>
    <row r="4" spans="1:9">
      <c r="A4" s="54" t="s">
        <v>445</v>
      </c>
      <c r="B4" s="10"/>
      <c r="I4" s="51"/>
    </row>
    <row r="5" spans="1:9">
      <c r="A5" s="54"/>
      <c r="B5" s="10"/>
      <c r="I5" s="51"/>
    </row>
    <row r="6" spans="1:9">
      <c r="A6" s="54" t="s">
        <v>446</v>
      </c>
      <c r="B6" s="54" t="s">
        <v>447</v>
      </c>
      <c r="I6" s="51"/>
    </row>
    <row r="7" spans="1:9">
      <c r="A7" s="10"/>
      <c r="B7" s="10" t="s">
        <v>485</v>
      </c>
      <c r="I7" s="51"/>
    </row>
    <row r="8" spans="1:9">
      <c r="A8" s="10"/>
      <c r="B8" s="10" t="s">
        <v>486</v>
      </c>
      <c r="I8" s="51"/>
    </row>
    <row r="9" spans="1:9">
      <c r="A9" s="10"/>
      <c r="B9" s="10" t="s">
        <v>487</v>
      </c>
      <c r="I9" s="51"/>
    </row>
    <row r="10" spans="1:9">
      <c r="A10" s="10"/>
      <c r="B10" s="10" t="s">
        <v>488</v>
      </c>
      <c r="I10" s="51"/>
    </row>
    <row r="11" spans="1:9">
      <c r="A11" s="10"/>
      <c r="B11" s="10" t="s">
        <v>489</v>
      </c>
      <c r="I11" s="51"/>
    </row>
    <row r="12" spans="1:9">
      <c r="A12" s="10"/>
      <c r="B12" s="10" t="s">
        <v>490</v>
      </c>
      <c r="I12" s="51"/>
    </row>
    <row r="13" spans="1:9">
      <c r="A13" s="54"/>
      <c r="B13" s="55" t="s">
        <v>448</v>
      </c>
      <c r="I13" s="51"/>
    </row>
    <row r="14" spans="1:9">
      <c r="A14" s="18"/>
      <c r="B14" s="18" t="s">
        <v>449</v>
      </c>
      <c r="I14" s="51"/>
    </row>
    <row r="15" spans="1:9">
      <c r="A15" s="18"/>
      <c r="B15" s="10" t="s">
        <v>450</v>
      </c>
      <c r="I15" s="51"/>
    </row>
    <row r="16" spans="1:9">
      <c r="A16" s="54"/>
      <c r="B16" s="55" t="s">
        <v>451</v>
      </c>
      <c r="I16" s="51"/>
    </row>
    <row r="17" spans="1:9">
      <c r="A17" s="18"/>
      <c r="B17" s="18" t="s">
        <v>491</v>
      </c>
      <c r="I17" s="51"/>
    </row>
    <row r="18" spans="1:9">
      <c r="A18" s="18"/>
      <c r="B18" s="18" t="s">
        <v>492</v>
      </c>
      <c r="I18" s="51"/>
    </row>
    <row r="19" spans="1:9">
      <c r="A19" s="18"/>
      <c r="B19" s="18" t="s">
        <v>493</v>
      </c>
      <c r="I19" s="51"/>
    </row>
    <row r="20" spans="1:9">
      <c r="A20" s="18"/>
      <c r="B20" s="55" t="s">
        <v>452</v>
      </c>
      <c r="I20" s="51"/>
    </row>
    <row r="21" spans="1:9">
      <c r="A21" s="18"/>
      <c r="B21" s="18" t="s">
        <v>453</v>
      </c>
      <c r="I21" s="51"/>
    </row>
    <row r="22" spans="1:9">
      <c r="A22" s="18"/>
      <c r="B22" s="18" t="s">
        <v>454</v>
      </c>
      <c r="I22" s="51"/>
    </row>
    <row r="23" spans="1:9">
      <c r="A23" s="18"/>
      <c r="B23" s="18" t="s">
        <v>455</v>
      </c>
      <c r="I23" s="51"/>
    </row>
    <row r="24" spans="1:9">
      <c r="A24" s="18"/>
      <c r="B24" s="18" t="s">
        <v>494</v>
      </c>
      <c r="I24" s="51"/>
    </row>
    <row r="25" spans="1:9">
      <c r="A25" s="18"/>
      <c r="B25" s="18" t="s">
        <v>495</v>
      </c>
      <c r="I25" s="51"/>
    </row>
    <row r="26" spans="1:9">
      <c r="A26" s="18"/>
      <c r="B26" s="55" t="s">
        <v>146</v>
      </c>
      <c r="I26" s="51"/>
    </row>
    <row r="27" spans="1:9">
      <c r="A27" s="18"/>
      <c r="B27" s="18" t="s">
        <v>456</v>
      </c>
      <c r="I27" s="51"/>
    </row>
    <row r="28" spans="1:9">
      <c r="A28" s="18"/>
      <c r="B28" s="55" t="s">
        <v>457</v>
      </c>
      <c r="I28" s="51"/>
    </row>
    <row r="29" spans="1:9">
      <c r="A29" s="18"/>
      <c r="B29" s="18" t="s">
        <v>458</v>
      </c>
      <c r="I29" s="51"/>
    </row>
    <row r="30" spans="1:9">
      <c r="A30" s="18"/>
      <c r="B30" s="10" t="s">
        <v>496</v>
      </c>
      <c r="I30" s="51"/>
    </row>
    <row r="31" spans="1:9">
      <c r="A31" s="18"/>
      <c r="B31" s="18" t="s">
        <v>497</v>
      </c>
      <c r="I31" s="51"/>
    </row>
    <row r="32" spans="1:9">
      <c r="A32" s="18"/>
      <c r="B32" s="54" t="s">
        <v>537</v>
      </c>
      <c r="I32" s="51"/>
    </row>
    <row r="33" spans="1:9">
      <c r="A33" s="18"/>
      <c r="B33" s="18" t="s">
        <v>538</v>
      </c>
      <c r="I33" s="51"/>
    </row>
    <row r="34" spans="1:9">
      <c r="A34" s="18"/>
      <c r="B34" s="18" t="s">
        <v>539</v>
      </c>
      <c r="I34" s="51"/>
    </row>
    <row r="35" spans="1:9">
      <c r="A35" s="18"/>
      <c r="B35" s="18"/>
      <c r="I35" s="51"/>
    </row>
    <row r="36" spans="1:9">
      <c r="A36" s="18"/>
      <c r="B36" s="18"/>
      <c r="I36" s="51"/>
    </row>
    <row r="37" spans="1:9">
      <c r="A37" s="56" t="s">
        <v>459</v>
      </c>
      <c r="B37" s="54" t="s">
        <v>460</v>
      </c>
      <c r="I37" s="51"/>
    </row>
    <row r="38" spans="1:9">
      <c r="A38" s="56"/>
      <c r="B38" s="54"/>
      <c r="E38" s="57"/>
      <c r="I38" s="51"/>
    </row>
    <row r="39" spans="1:9" ht="14.4">
      <c r="A39" s="56"/>
      <c r="B39" s="55" t="s">
        <v>461</v>
      </c>
      <c r="C39" s="58" t="s">
        <v>462</v>
      </c>
      <c r="D39" s="58" t="s">
        <v>498</v>
      </c>
      <c r="I39" s="51"/>
    </row>
    <row r="40" spans="1:9" ht="14.4">
      <c r="A40" s="56"/>
      <c r="B40" s="10" t="s">
        <v>463</v>
      </c>
      <c r="C40" s="60">
        <f>'Saldobalanse 2012 og 2013'!C115+'Saldobalanse 2012 og 2013'!C116+'Saldobalanse 2012 og 2013'!C117</f>
        <v>620180.06999999995</v>
      </c>
      <c r="D40" s="61">
        <f>'Saldobalanse 2012 og 2013'!G115+'Saldobalanse 2012 og 2013'!G116</f>
        <v>746706.12</v>
      </c>
      <c r="I40" s="51"/>
    </row>
    <row r="41" spans="1:9">
      <c r="A41" s="56"/>
      <c r="B41" s="10" t="s">
        <v>232</v>
      </c>
      <c r="C41" s="61">
        <f>'Saldobalanse 2012 og 2013'!C118+'Saldobalanse 2012 og 2013'!C119</f>
        <v>82055.37000000001</v>
      </c>
      <c r="D41" s="61">
        <f>'Saldobalanse 2012 og 2013'!G118+'Saldobalanse 2012 og 2013'!G119</f>
        <v>87228.27</v>
      </c>
      <c r="I41" s="51"/>
    </row>
    <row r="42" spans="1:9">
      <c r="A42" s="56"/>
      <c r="B42" s="10" t="s">
        <v>464</v>
      </c>
      <c r="C42" s="61">
        <f>'Saldobalanse 2012 og 2013'!C120</f>
        <v>5723</v>
      </c>
      <c r="D42" s="61">
        <f>'Saldobalanse 2012 og 2013'!G120+'Saldobalanse 2012 og 2013'!G124</f>
        <v>11117</v>
      </c>
      <c r="I42" s="51"/>
    </row>
    <row r="43" spans="1:9">
      <c r="A43" s="56"/>
      <c r="B43" s="10" t="s">
        <v>465</v>
      </c>
      <c r="C43" s="62">
        <f>'Saldobalanse 2012 og 2013'!D126-'Noter 2013'!C40-'Noter 2013'!C41-'Noter 2013'!C42</f>
        <v>53737.999999999985</v>
      </c>
      <c r="D43" s="62">
        <f>'Saldobalanse 2012 og 2013'!H126-'Noter 2013'!D40-'Noter 2013'!D41-'Noter 2013'!D42</f>
        <v>181326.74</v>
      </c>
      <c r="I43" s="51"/>
    </row>
    <row r="44" spans="1:9">
      <c r="A44" s="56"/>
      <c r="B44" s="10" t="s">
        <v>466</v>
      </c>
      <c r="C44" s="61">
        <f>SUM(C40:C43)</f>
        <v>761696.44</v>
      </c>
      <c r="D44" s="61">
        <f>SUM(D40:D43)</f>
        <v>1026378.13</v>
      </c>
      <c r="I44" s="51"/>
    </row>
    <row r="45" spans="1:9">
      <c r="A45" s="56"/>
      <c r="B45" s="10"/>
      <c r="C45" s="63"/>
      <c r="D45" s="59"/>
      <c r="E45" s="57"/>
      <c r="F45" s="59"/>
      <c r="I45" s="51"/>
    </row>
    <row r="46" spans="1:9">
      <c r="A46" s="56"/>
      <c r="B46" s="64" t="s">
        <v>500</v>
      </c>
      <c r="C46" s="65"/>
      <c r="D46" s="65"/>
      <c r="E46" s="65"/>
      <c r="F46" s="65"/>
      <c r="I46" s="51"/>
    </row>
    <row r="47" spans="1:9">
      <c r="B47" s="66" t="s">
        <v>499</v>
      </c>
      <c r="I47" s="51"/>
    </row>
    <row r="48" spans="1:9">
      <c r="B48" s="10" t="s">
        <v>542</v>
      </c>
      <c r="I48" s="51"/>
    </row>
    <row r="49" spans="1:9">
      <c r="B49" s="10" t="s">
        <v>502</v>
      </c>
      <c r="I49" s="51"/>
    </row>
    <row r="50" spans="1:9">
      <c r="B50" s="10"/>
      <c r="I50" s="51"/>
    </row>
    <row r="51" spans="1:9">
      <c r="B51" s="10" t="s">
        <v>467</v>
      </c>
      <c r="I51" s="51"/>
    </row>
    <row r="52" spans="1:9">
      <c r="B52" s="10" t="s">
        <v>468</v>
      </c>
      <c r="I52" s="51"/>
    </row>
    <row r="53" spans="1:9">
      <c r="B53" s="10"/>
      <c r="I53" s="51"/>
    </row>
    <row r="54" spans="1:9">
      <c r="B54" s="10"/>
      <c r="I54" s="51"/>
    </row>
    <row r="55" spans="1:9">
      <c r="A55" s="56" t="s">
        <v>469</v>
      </c>
      <c r="B55" s="54" t="s">
        <v>428</v>
      </c>
      <c r="I55" s="51"/>
    </row>
    <row r="56" spans="1:9">
      <c r="B56" s="10" t="s">
        <v>503</v>
      </c>
      <c r="D56" s="78">
        <v>74036.25</v>
      </c>
      <c r="I56" s="51"/>
    </row>
    <row r="57" spans="1:9">
      <c r="B57" s="10" t="s">
        <v>504</v>
      </c>
      <c r="D57" s="78">
        <v>81750</v>
      </c>
      <c r="I57" s="51"/>
    </row>
    <row r="58" spans="1:9">
      <c r="B58" s="10" t="s">
        <v>505</v>
      </c>
      <c r="D58" s="79">
        <v>-14216</v>
      </c>
      <c r="I58" s="51"/>
    </row>
    <row r="59" spans="1:9">
      <c r="B59" s="10" t="s">
        <v>471</v>
      </c>
      <c r="D59" s="78">
        <f>SUM(D56:D58)</f>
        <v>141570.25</v>
      </c>
      <c r="I59" s="51"/>
    </row>
    <row r="60" spans="1:9">
      <c r="B60" s="10"/>
      <c r="I60" s="51"/>
    </row>
    <row r="61" spans="1:9">
      <c r="B61" s="10" t="s">
        <v>506</v>
      </c>
      <c r="I61" s="51"/>
    </row>
    <row r="62" spans="1:9">
      <c r="B62" s="10" t="s">
        <v>507</v>
      </c>
      <c r="I62" s="51"/>
    </row>
    <row r="63" spans="1:9">
      <c r="B63" s="10"/>
      <c r="I63" s="51"/>
    </row>
    <row r="64" spans="1:9">
      <c r="B64" s="10"/>
      <c r="I64" s="51"/>
    </row>
    <row r="65" spans="1:9">
      <c r="A65" s="56" t="s">
        <v>474</v>
      </c>
      <c r="B65" s="54" t="s">
        <v>470</v>
      </c>
      <c r="C65" s="56"/>
      <c r="D65" s="56"/>
      <c r="E65" s="56"/>
      <c r="F65" s="57"/>
      <c r="G65" s="57"/>
      <c r="I65" s="51"/>
    </row>
    <row r="66" spans="1:9">
      <c r="A66" s="56"/>
      <c r="B66" s="54"/>
      <c r="C66" s="56"/>
      <c r="D66" s="56"/>
      <c r="E66" s="56"/>
      <c r="F66" s="57"/>
      <c r="G66" s="57"/>
      <c r="I66" s="51"/>
    </row>
    <row r="67" spans="1:9">
      <c r="A67" s="57"/>
      <c r="B67" s="55" t="s">
        <v>508</v>
      </c>
      <c r="C67" s="57"/>
      <c r="D67" s="57"/>
      <c r="E67" s="57"/>
      <c r="F67" s="57"/>
      <c r="G67" s="57"/>
      <c r="I67" s="51"/>
    </row>
    <row r="68" spans="1:9">
      <c r="A68" s="57"/>
      <c r="B68" s="10" t="s">
        <v>471</v>
      </c>
      <c r="C68" s="57"/>
      <c r="D68" s="67">
        <v>1287790</v>
      </c>
      <c r="F68" s="57"/>
      <c r="G68" s="57"/>
      <c r="I68" s="51"/>
    </row>
    <row r="69" spans="1:9">
      <c r="A69" s="57"/>
      <c r="B69" s="10" t="s">
        <v>511</v>
      </c>
      <c r="C69" s="57"/>
      <c r="D69" s="57"/>
      <c r="E69" s="67"/>
      <c r="F69" s="57"/>
      <c r="G69" s="57"/>
      <c r="I69" s="51"/>
    </row>
    <row r="70" spans="1:9">
      <c r="A70" s="57"/>
      <c r="B70" s="57" t="s">
        <v>509</v>
      </c>
      <c r="C70" s="67"/>
      <c r="D70" s="57"/>
      <c r="E70" s="57"/>
      <c r="F70" s="57"/>
      <c r="G70" s="57"/>
      <c r="I70" s="51"/>
    </row>
    <row r="71" spans="1:9">
      <c r="A71" s="57"/>
      <c r="B71" s="10" t="s">
        <v>510</v>
      </c>
      <c r="C71" s="67"/>
      <c r="D71" s="57"/>
      <c r="E71" s="57"/>
      <c r="F71" s="57"/>
      <c r="G71" s="57"/>
      <c r="I71" s="51"/>
    </row>
    <row r="72" spans="1:9">
      <c r="A72" s="57"/>
      <c r="B72" s="10" t="s">
        <v>540</v>
      </c>
      <c r="C72" s="67"/>
      <c r="D72" s="57"/>
      <c r="E72" s="57"/>
      <c r="F72" s="57"/>
      <c r="G72" s="57"/>
      <c r="I72" s="51"/>
    </row>
    <row r="73" spans="1:9">
      <c r="A73" s="57"/>
      <c r="B73" s="10"/>
      <c r="C73" s="67"/>
      <c r="D73" s="57"/>
      <c r="E73" s="57"/>
      <c r="F73" s="57"/>
      <c r="G73" s="57"/>
      <c r="I73" s="51"/>
    </row>
    <row r="74" spans="1:9">
      <c r="A74" s="57"/>
      <c r="B74" s="55" t="s">
        <v>512</v>
      </c>
      <c r="C74" s="67"/>
      <c r="D74" s="57"/>
      <c r="E74" s="57"/>
      <c r="F74" s="57"/>
      <c r="G74" s="57"/>
      <c r="I74" s="51"/>
    </row>
    <row r="75" spans="1:9">
      <c r="A75" s="57"/>
      <c r="B75" s="10" t="s">
        <v>471</v>
      </c>
      <c r="C75" s="57"/>
      <c r="D75" s="67">
        <v>45000</v>
      </c>
      <c r="F75" s="57"/>
      <c r="G75" s="57"/>
      <c r="I75" s="51"/>
    </row>
    <row r="76" spans="1:9">
      <c r="A76" s="57"/>
      <c r="B76" s="10" t="s">
        <v>511</v>
      </c>
      <c r="C76" s="57"/>
      <c r="D76" s="57"/>
      <c r="E76" s="74" t="s">
        <v>374</v>
      </c>
      <c r="F76" s="57"/>
      <c r="G76" s="57"/>
      <c r="I76" s="51"/>
    </row>
    <row r="77" spans="1:9">
      <c r="A77" s="57"/>
      <c r="B77" s="10" t="s">
        <v>541</v>
      </c>
      <c r="C77" s="57"/>
      <c r="D77" s="57"/>
      <c r="E77" s="69"/>
      <c r="F77" s="57"/>
      <c r="G77" s="57"/>
      <c r="I77" s="51"/>
    </row>
    <row r="78" spans="1:9">
      <c r="A78" s="57"/>
      <c r="B78" s="10" t="s">
        <v>540</v>
      </c>
      <c r="C78" s="67"/>
      <c r="D78" s="57"/>
      <c r="E78" s="57"/>
      <c r="F78" s="57"/>
      <c r="G78" s="57"/>
      <c r="I78" s="51"/>
    </row>
    <row r="79" spans="1:9">
      <c r="A79" s="57"/>
      <c r="B79" s="10"/>
      <c r="C79" s="67"/>
      <c r="D79" s="57"/>
      <c r="E79" s="57"/>
      <c r="F79" s="57"/>
      <c r="G79" s="57"/>
      <c r="I79" s="51"/>
    </row>
    <row r="80" spans="1:9">
      <c r="A80" s="57"/>
      <c r="B80" s="55" t="s">
        <v>513</v>
      </c>
      <c r="C80" s="67"/>
      <c r="D80" s="57"/>
      <c r="E80" s="57"/>
      <c r="F80" s="57"/>
      <c r="G80" s="57"/>
      <c r="I80" s="51"/>
    </row>
    <row r="81" spans="1:9">
      <c r="A81" s="57"/>
      <c r="B81" s="10" t="s">
        <v>514</v>
      </c>
      <c r="C81" s="57"/>
      <c r="D81" s="67">
        <v>132876</v>
      </c>
      <c r="F81" s="57"/>
      <c r="G81" s="57"/>
      <c r="I81" s="51"/>
    </row>
    <row r="82" spans="1:9">
      <c r="A82" s="57"/>
      <c r="B82" s="10" t="s">
        <v>472</v>
      </c>
      <c r="C82" s="57"/>
      <c r="D82" s="74">
        <f>-D81--99657</f>
        <v>-33219</v>
      </c>
      <c r="F82" s="57"/>
      <c r="G82" s="57"/>
      <c r="I82" s="51"/>
    </row>
    <row r="83" spans="1:9">
      <c r="A83" s="57"/>
      <c r="B83" s="10" t="s">
        <v>505</v>
      </c>
      <c r="C83" s="57"/>
      <c r="D83" s="68">
        <v>-26575.200000000001</v>
      </c>
      <c r="F83" s="57"/>
      <c r="G83" s="57"/>
      <c r="I83" s="51" t="s">
        <v>374</v>
      </c>
    </row>
    <row r="84" spans="1:9">
      <c r="A84" s="57"/>
      <c r="B84" s="10" t="s">
        <v>471</v>
      </c>
      <c r="C84" s="57"/>
      <c r="D84" s="67">
        <f>SUM(D81:D83)</f>
        <v>73081.8</v>
      </c>
      <c r="F84" s="57"/>
      <c r="G84" s="57"/>
      <c r="I84" s="51"/>
    </row>
    <row r="85" spans="1:9">
      <c r="A85" s="57"/>
      <c r="B85" s="57" t="s">
        <v>515</v>
      </c>
      <c r="C85" s="67"/>
      <c r="D85" s="57"/>
      <c r="F85" s="57"/>
      <c r="G85" s="57"/>
      <c r="I85" s="51"/>
    </row>
    <row r="86" spans="1:9">
      <c r="A86" s="57"/>
      <c r="B86" s="57"/>
      <c r="C86" s="67"/>
      <c r="D86" s="57"/>
      <c r="F86" s="57"/>
      <c r="G86" s="57"/>
      <c r="I86" s="51"/>
    </row>
    <row r="87" spans="1:9">
      <c r="A87" s="57"/>
      <c r="B87" s="57"/>
      <c r="C87" s="67"/>
      <c r="D87" s="57"/>
      <c r="F87" s="57"/>
      <c r="G87" s="57"/>
      <c r="I87" s="51"/>
    </row>
    <row r="88" spans="1:9">
      <c r="A88" s="70" t="s">
        <v>475</v>
      </c>
      <c r="B88" s="70" t="s">
        <v>523</v>
      </c>
      <c r="C88" s="67"/>
      <c r="D88" s="57"/>
      <c r="F88" s="57"/>
      <c r="G88" s="57"/>
      <c r="I88" s="51"/>
    </row>
    <row r="89" spans="1:9">
      <c r="A89" s="57"/>
      <c r="B89" s="10"/>
      <c r="C89" s="67"/>
      <c r="D89" s="57"/>
      <c r="F89" s="57"/>
      <c r="G89" s="57"/>
      <c r="I89" s="51"/>
    </row>
    <row r="90" spans="1:9">
      <c r="A90" s="57"/>
      <c r="B90" s="55" t="s">
        <v>14</v>
      </c>
      <c r="C90" s="67"/>
      <c r="D90" s="57"/>
      <c r="F90" s="57"/>
      <c r="G90" s="57"/>
      <c r="I90" s="51"/>
    </row>
    <row r="91" spans="1:9">
      <c r="A91" s="57"/>
      <c r="B91" s="10" t="s">
        <v>516</v>
      </c>
      <c r="C91" s="67"/>
      <c r="D91" s="67">
        <v>88736</v>
      </c>
      <c r="F91" s="57"/>
      <c r="G91" s="57"/>
      <c r="I91" s="51"/>
    </row>
    <row r="92" spans="1:9">
      <c r="A92" s="57"/>
      <c r="B92" s="10" t="s">
        <v>472</v>
      </c>
      <c r="C92" s="67"/>
      <c r="D92" s="67">
        <f>34736.56-D91</f>
        <v>-53999.44</v>
      </c>
      <c r="F92" s="57"/>
      <c r="G92" s="57"/>
      <c r="I92" s="51"/>
    </row>
    <row r="93" spans="1:9">
      <c r="A93" s="57"/>
      <c r="B93" s="10" t="s">
        <v>473</v>
      </c>
      <c r="C93" s="67"/>
      <c r="D93" s="68">
        <v>-17400.73</v>
      </c>
      <c r="F93" s="57"/>
      <c r="G93" s="57"/>
      <c r="I93" s="51"/>
    </row>
    <row r="94" spans="1:9">
      <c r="A94" s="57"/>
      <c r="B94" s="10" t="s">
        <v>471</v>
      </c>
      <c r="C94" s="67"/>
      <c r="D94" s="67">
        <f>SUM(D91:D93)</f>
        <v>17335.829999999998</v>
      </c>
      <c r="F94" s="57"/>
      <c r="G94" s="57"/>
      <c r="I94" s="51"/>
    </row>
    <row r="95" spans="1:9">
      <c r="A95" s="57"/>
      <c r="B95" s="10" t="s">
        <v>515</v>
      </c>
      <c r="C95" s="67"/>
      <c r="D95" s="82"/>
      <c r="F95" s="57"/>
      <c r="G95" s="57"/>
      <c r="I95" s="51"/>
    </row>
    <row r="96" spans="1:9">
      <c r="A96" s="57"/>
      <c r="B96" s="10"/>
      <c r="C96" s="67"/>
      <c r="D96" s="82"/>
      <c r="F96" s="57"/>
      <c r="G96" s="57"/>
      <c r="I96" s="51"/>
    </row>
    <row r="97" spans="1:9">
      <c r="A97" s="57"/>
      <c r="B97" s="54" t="s">
        <v>517</v>
      </c>
      <c r="C97" s="67"/>
      <c r="D97" s="82"/>
      <c r="F97" s="57"/>
      <c r="G97" s="57"/>
      <c r="I97" s="51"/>
    </row>
    <row r="98" spans="1:9">
      <c r="A98" s="57"/>
      <c r="B98" s="10" t="s">
        <v>518</v>
      </c>
      <c r="C98" s="67"/>
      <c r="D98" s="82">
        <v>290000</v>
      </c>
      <c r="F98" s="57"/>
      <c r="G98" s="57"/>
      <c r="I98" s="51"/>
    </row>
    <row r="99" spans="1:9">
      <c r="A99" s="57"/>
      <c r="B99" s="10" t="s">
        <v>472</v>
      </c>
      <c r="C99" s="67"/>
      <c r="D99" s="82">
        <f>35000-D98</f>
        <v>-255000</v>
      </c>
      <c r="F99" s="57"/>
      <c r="G99" s="57"/>
      <c r="I99" s="51"/>
    </row>
    <row r="100" spans="1:9">
      <c r="A100" s="57"/>
      <c r="B100" s="10" t="s">
        <v>519</v>
      </c>
      <c r="C100" s="67"/>
      <c r="D100" s="83">
        <v>-20000</v>
      </c>
      <c r="F100" s="57"/>
      <c r="G100" s="57"/>
      <c r="I100" s="51"/>
    </row>
    <row r="101" spans="1:9">
      <c r="A101" s="57"/>
      <c r="B101" s="10" t="s">
        <v>471</v>
      </c>
      <c r="C101" s="67"/>
      <c r="D101" s="82">
        <f>SUM(D98:D100)</f>
        <v>15000</v>
      </c>
      <c r="F101" s="57"/>
      <c r="G101" s="57"/>
      <c r="I101" s="51"/>
    </row>
    <row r="102" spans="1:9">
      <c r="A102" s="57"/>
      <c r="B102" s="10" t="s">
        <v>520</v>
      </c>
      <c r="C102" s="67"/>
      <c r="D102" s="57"/>
      <c r="E102" s="80"/>
      <c r="F102" s="57"/>
      <c r="G102" s="57"/>
      <c r="I102" s="51"/>
    </row>
    <row r="103" spans="1:9">
      <c r="A103" s="57"/>
      <c r="B103" s="10"/>
      <c r="C103" s="67"/>
      <c r="D103" s="57"/>
      <c r="E103" s="57"/>
      <c r="F103" s="57"/>
      <c r="G103" s="57"/>
      <c r="I103" s="51"/>
    </row>
    <row r="104" spans="1:9">
      <c r="A104" s="57"/>
      <c r="B104" s="10"/>
      <c r="C104" s="67"/>
      <c r="D104" s="57"/>
      <c r="E104" s="57"/>
      <c r="F104" s="57"/>
      <c r="G104" s="57"/>
      <c r="I104" s="51"/>
    </row>
    <row r="105" spans="1:9">
      <c r="A105" s="54" t="s">
        <v>477</v>
      </c>
      <c r="B105" s="54" t="s">
        <v>430</v>
      </c>
      <c r="E105" s="61"/>
    </row>
    <row r="106" spans="1:9">
      <c r="A106" s="18"/>
      <c r="B106" s="18" t="s">
        <v>524</v>
      </c>
      <c r="D106" s="61">
        <v>287024</v>
      </c>
    </row>
    <row r="107" spans="1:9">
      <c r="A107" s="18"/>
      <c r="I107" s="51"/>
    </row>
    <row r="108" spans="1:9">
      <c r="B108" s="10"/>
    </row>
    <row r="109" spans="1:9">
      <c r="A109" s="70" t="s">
        <v>479</v>
      </c>
      <c r="B109" s="54" t="s">
        <v>476</v>
      </c>
    </row>
    <row r="110" spans="1:9">
      <c r="A110" s="57"/>
      <c r="B110" s="10" t="s">
        <v>525</v>
      </c>
    </row>
    <row r="111" spans="1:9">
      <c r="A111" s="57"/>
      <c r="B111" s="10" t="s">
        <v>526</v>
      </c>
    </row>
    <row r="112" spans="1:9">
      <c r="B112" s="10"/>
    </row>
    <row r="113" spans="1:9">
      <c r="B113" s="10"/>
    </row>
    <row r="114" spans="1:9">
      <c r="A114" s="71" t="s">
        <v>480</v>
      </c>
      <c r="B114" s="54" t="s">
        <v>478</v>
      </c>
    </row>
    <row r="115" spans="1:9">
      <c r="B115" s="57" t="s">
        <v>527</v>
      </c>
      <c r="C115" s="70" t="s">
        <v>529</v>
      </c>
      <c r="D115" s="90" t="s">
        <v>534</v>
      </c>
      <c r="E115" s="89" t="s">
        <v>530</v>
      </c>
      <c r="F115" s="72"/>
      <c r="I115" s="51"/>
    </row>
    <row r="116" spans="1:9">
      <c r="B116" s="57" t="s">
        <v>528</v>
      </c>
      <c r="C116" s="82">
        <f>'Saldobalanse 2012 og 2013'!G61</f>
        <v>-505683.07</v>
      </c>
      <c r="D116" s="82">
        <v>-35330.230000000003</v>
      </c>
      <c r="E116" s="84">
        <f>SUM(C116:D116)</f>
        <v>-541013.30000000005</v>
      </c>
      <c r="F116" s="72"/>
      <c r="I116" s="51"/>
    </row>
    <row r="117" spans="1:9">
      <c r="B117" s="73" t="s">
        <v>126</v>
      </c>
      <c r="C117" s="83">
        <f>'Saldobalanse 2012 og 2013'!G62</f>
        <v>-224755.26</v>
      </c>
      <c r="D117" s="83">
        <v>128458.71</v>
      </c>
      <c r="E117" s="85">
        <f>SUM(C117:D117)</f>
        <v>-96296.55</v>
      </c>
      <c r="F117" s="72"/>
      <c r="I117" s="51"/>
    </row>
    <row r="118" spans="1:9">
      <c r="B118" s="73"/>
      <c r="C118" s="82"/>
      <c r="D118" s="82"/>
      <c r="E118" s="86"/>
      <c r="F118" s="72"/>
      <c r="I118" s="51"/>
    </row>
    <row r="119" spans="1:9">
      <c r="B119" s="73" t="s">
        <v>531</v>
      </c>
      <c r="C119" s="82">
        <f>SUM(C116:C118)</f>
        <v>-730438.33000000007</v>
      </c>
      <c r="D119" s="82">
        <f>SUM(D116:D118)</f>
        <v>93128.48000000001</v>
      </c>
      <c r="E119" s="84">
        <f>SUM(E115:E118)</f>
        <v>-637309.85000000009</v>
      </c>
      <c r="F119" s="72" t="s">
        <v>374</v>
      </c>
      <c r="I119" s="51"/>
    </row>
    <row r="120" spans="1:9">
      <c r="B120" t="s">
        <v>374</v>
      </c>
      <c r="C120" s="75" t="s">
        <v>374</v>
      </c>
      <c r="D120" s="65"/>
      <c r="E120" s="57"/>
      <c r="F120" s="57"/>
      <c r="I120" s="51"/>
    </row>
    <row r="121" spans="1:9">
      <c r="C121" s="88" t="s">
        <v>529</v>
      </c>
      <c r="D121" s="91" t="s">
        <v>532</v>
      </c>
      <c r="E121" s="70" t="s">
        <v>530</v>
      </c>
      <c r="F121" s="57"/>
      <c r="I121" s="51"/>
    </row>
    <row r="122" spans="1:9">
      <c r="B122" s="73" t="s">
        <v>432</v>
      </c>
      <c r="C122" s="92">
        <f>'Saldobalanse 2012 og 2013'!H67</f>
        <v>-1649729.9899999998</v>
      </c>
      <c r="D122" s="93">
        <f>-C122+E122</f>
        <v>334099.59999999963</v>
      </c>
      <c r="E122" s="81">
        <f>'Saldobalanse 2012 og 2013'!D67</f>
        <v>-1315630.3900000001</v>
      </c>
      <c r="F122" s="57"/>
      <c r="I122" s="51"/>
    </row>
    <row r="123" spans="1:9">
      <c r="B123"/>
      <c r="C123" s="75"/>
      <c r="D123" s="65"/>
      <c r="E123" s="57"/>
      <c r="F123" s="57"/>
      <c r="I123" s="51"/>
    </row>
    <row r="124" spans="1:9">
      <c r="B124" s="46" t="s">
        <v>533</v>
      </c>
      <c r="C124" s="94">
        <f t="shared" ref="C124:D124" si="0">C119+C122</f>
        <v>-2380168.3199999998</v>
      </c>
      <c r="D124" s="94">
        <f t="shared" si="0"/>
        <v>427228.07999999961</v>
      </c>
      <c r="E124" s="94">
        <f>E119+E122</f>
        <v>-1952940.2400000002</v>
      </c>
      <c r="F124" s="57"/>
      <c r="I124" s="51"/>
    </row>
    <row r="125" spans="1:9">
      <c r="A125" s="57"/>
      <c r="B125" s="10"/>
      <c r="C125" s="57"/>
      <c r="D125" s="57"/>
      <c r="E125" s="57"/>
      <c r="F125" s="67"/>
      <c r="G125" s="57"/>
      <c r="H125" s="57"/>
      <c r="I125" s="51"/>
    </row>
    <row r="126" spans="1:9">
      <c r="A126" s="57"/>
      <c r="B126" s="10"/>
      <c r="C126" s="57"/>
      <c r="D126" s="57"/>
      <c r="E126" s="57"/>
      <c r="F126" s="67"/>
      <c r="G126" s="57"/>
      <c r="H126" s="57"/>
      <c r="I126" s="51"/>
    </row>
    <row r="127" spans="1:9">
      <c r="A127" s="56" t="s">
        <v>481</v>
      </c>
      <c r="B127" s="54" t="s">
        <v>482</v>
      </c>
      <c r="I127" s="51"/>
    </row>
    <row r="128" spans="1:9">
      <c r="B128" s="76" t="s">
        <v>535</v>
      </c>
      <c r="C128" s="65"/>
      <c r="D128" s="65"/>
      <c r="I128" s="51"/>
    </row>
    <row r="130" spans="1:9">
      <c r="A130" s="56" t="s">
        <v>374</v>
      </c>
      <c r="B130" s="56" t="s">
        <v>374</v>
      </c>
      <c r="I130" s="51"/>
    </row>
    <row r="131" spans="1:9">
      <c r="A131" s="56"/>
      <c r="B131" s="50" t="s">
        <v>374</v>
      </c>
      <c r="I131" s="51"/>
    </row>
    <row r="132" spans="1:9">
      <c r="B132" s="87" t="s">
        <v>374</v>
      </c>
      <c r="C132" s="65"/>
      <c r="D132" s="65"/>
      <c r="E132" s="65"/>
      <c r="F132" s="65"/>
    </row>
  </sheetData>
  <pageMargins left="0.25" right="0.25" top="0.75" bottom="0.75" header="0.3" footer="0.3"/>
  <pageSetup paperSize="9" scale="77" fitToHeight="0" orientation="portrait" r:id="rId1"/>
  <rowBreaks count="1" manualBreakCount="1">
    <brk id="10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80"/>
  <sheetViews>
    <sheetView workbookViewId="0">
      <selection activeCell="E13" sqref="E13"/>
    </sheetView>
  </sheetViews>
  <sheetFormatPr baseColWidth="10" defaultColWidth="11.5546875" defaultRowHeight="13.2"/>
  <cols>
    <col min="1" max="1" width="9.109375" customWidth="1"/>
    <col min="2" max="2" width="49.44140625" customWidth="1"/>
    <col min="3" max="3" width="13.5546875" style="1" customWidth="1"/>
    <col min="4" max="4" width="12" style="1" customWidth="1"/>
    <col min="5" max="5" width="14" style="1" customWidth="1"/>
    <col min="6" max="256" width="9.109375" customWidth="1"/>
  </cols>
  <sheetData>
    <row r="1" spans="1:6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6">
      <c r="A2" t="s">
        <v>5</v>
      </c>
      <c r="B2" t="s">
        <v>6</v>
      </c>
      <c r="C2" s="1">
        <v>74036.25</v>
      </c>
      <c r="D2" s="1">
        <v>67533.33</v>
      </c>
      <c r="E2" s="1">
        <v>141569.58000000002</v>
      </c>
      <c r="F2" t="s">
        <v>362</v>
      </c>
    </row>
    <row r="3" spans="1:6">
      <c r="A3" t="s">
        <v>7</v>
      </c>
      <c r="B3" t="s">
        <v>8</v>
      </c>
      <c r="C3" s="1">
        <v>1287790</v>
      </c>
      <c r="D3" s="1">
        <v>0</v>
      </c>
      <c r="E3" s="1">
        <v>1287790</v>
      </c>
      <c r="F3" t="s">
        <v>363</v>
      </c>
    </row>
    <row r="4" spans="1:6">
      <c r="A4" t="s">
        <v>9</v>
      </c>
      <c r="B4" t="s">
        <v>10</v>
      </c>
      <c r="C4" s="1">
        <v>45000</v>
      </c>
      <c r="D4" s="1">
        <v>0</v>
      </c>
      <c r="E4" s="1">
        <v>45000</v>
      </c>
      <c r="F4" t="s">
        <v>363</v>
      </c>
    </row>
    <row r="5" spans="1:6">
      <c r="A5" t="s">
        <v>11</v>
      </c>
      <c r="B5" t="s">
        <v>12</v>
      </c>
      <c r="C5" s="1">
        <v>99657</v>
      </c>
      <c r="D5" s="1">
        <v>-26575.200000000001</v>
      </c>
      <c r="E5" s="1">
        <v>73081.8</v>
      </c>
      <c r="F5" t="s">
        <v>362</v>
      </c>
    </row>
    <row r="6" spans="1:6">
      <c r="A6" t="s">
        <v>13</v>
      </c>
      <c r="B6" t="s">
        <v>14</v>
      </c>
      <c r="C6" s="1">
        <v>34736.560000000005</v>
      </c>
      <c r="D6" s="1">
        <v>-17400.73</v>
      </c>
      <c r="E6" s="1">
        <v>17335.830000000002</v>
      </c>
      <c r="F6" t="s">
        <v>362</v>
      </c>
    </row>
    <row r="7" spans="1:6">
      <c r="A7" t="s">
        <v>15</v>
      </c>
      <c r="B7" t="s">
        <v>16</v>
      </c>
      <c r="C7" s="1">
        <v>35000</v>
      </c>
      <c r="D7" s="1">
        <v>-20000</v>
      </c>
      <c r="E7" s="1">
        <v>15000</v>
      </c>
      <c r="F7" t="s">
        <v>362</v>
      </c>
    </row>
    <row r="8" spans="1:6">
      <c r="A8" t="s">
        <v>17</v>
      </c>
      <c r="B8" t="s">
        <v>18</v>
      </c>
      <c r="C8" s="1">
        <v>67310.5</v>
      </c>
      <c r="D8" s="1">
        <v>0</v>
      </c>
      <c r="E8" s="1">
        <v>67310.5</v>
      </c>
      <c r="F8" t="s">
        <v>364</v>
      </c>
    </row>
    <row r="9" spans="1:6">
      <c r="A9" t="s">
        <v>19</v>
      </c>
      <c r="B9" t="s">
        <v>20</v>
      </c>
      <c r="C9" s="1">
        <v>67602.2</v>
      </c>
      <c r="D9" s="1">
        <v>-67602.2</v>
      </c>
      <c r="E9" s="1">
        <v>0</v>
      </c>
    </row>
    <row r="10" spans="1:6">
      <c r="A10" t="s">
        <v>21</v>
      </c>
      <c r="B10" t="s">
        <v>22</v>
      </c>
      <c r="C10" s="1">
        <v>19050</v>
      </c>
      <c r="D10" s="1">
        <v>211110.54</v>
      </c>
      <c r="E10" s="1">
        <v>230160.54</v>
      </c>
      <c r="F10" t="s">
        <v>365</v>
      </c>
    </row>
    <row r="11" spans="1:6">
      <c r="A11" t="s">
        <v>23</v>
      </c>
      <c r="B11" t="s">
        <v>24</v>
      </c>
      <c r="C11" s="1">
        <v>0</v>
      </c>
      <c r="D11" s="1">
        <v>0</v>
      </c>
      <c r="E11" s="1">
        <v>0</v>
      </c>
    </row>
    <row r="12" spans="1:6">
      <c r="A12" t="s">
        <v>25</v>
      </c>
      <c r="B12" t="s">
        <v>26</v>
      </c>
      <c r="C12" s="1">
        <v>36822.65</v>
      </c>
      <c r="D12" s="1">
        <v>158402.57</v>
      </c>
      <c r="E12" s="1">
        <v>195225.22</v>
      </c>
      <c r="F12" t="s">
        <v>366</v>
      </c>
    </row>
    <row r="13" spans="1:6">
      <c r="A13" t="s">
        <v>27</v>
      </c>
      <c r="B13" t="s">
        <v>28</v>
      </c>
      <c r="C13" s="1">
        <v>186691</v>
      </c>
      <c r="D13" s="1">
        <v>-186691</v>
      </c>
      <c r="E13" s="1">
        <v>0</v>
      </c>
    </row>
    <row r="14" spans="1:6">
      <c r="A14" t="s">
        <v>29</v>
      </c>
      <c r="B14" t="s">
        <v>30</v>
      </c>
      <c r="C14" s="1">
        <v>-2500</v>
      </c>
      <c r="D14" s="1">
        <v>-197500</v>
      </c>
      <c r="E14" s="1">
        <v>-200000</v>
      </c>
      <c r="F14" t="s">
        <v>367</v>
      </c>
    </row>
    <row r="15" spans="1:6">
      <c r="A15" t="s">
        <v>31</v>
      </c>
      <c r="B15" t="s">
        <v>32</v>
      </c>
      <c r="C15" s="1">
        <v>0</v>
      </c>
      <c r="D15" s="1">
        <v>6000</v>
      </c>
      <c r="E15" s="1">
        <v>6000</v>
      </c>
      <c r="F15" t="s">
        <v>368</v>
      </c>
    </row>
    <row r="16" spans="1:6">
      <c r="A16" t="s">
        <v>33</v>
      </c>
      <c r="B16" t="s">
        <v>34</v>
      </c>
      <c r="C16" s="1">
        <v>287024.29000000004</v>
      </c>
      <c r="D16" s="1">
        <v>0</v>
      </c>
      <c r="E16" s="1">
        <v>287024.29000000004</v>
      </c>
      <c r="F16" t="s">
        <v>369</v>
      </c>
    </row>
    <row r="17" spans="1:6">
      <c r="A17" t="s">
        <v>35</v>
      </c>
      <c r="B17" t="s">
        <v>36</v>
      </c>
      <c r="C17" s="1">
        <v>14726</v>
      </c>
      <c r="D17" s="1">
        <v>-5238</v>
      </c>
      <c r="E17" s="1">
        <v>9488</v>
      </c>
      <c r="F17" t="s">
        <v>370</v>
      </c>
    </row>
    <row r="18" spans="1:6">
      <c r="A18" t="s">
        <v>37</v>
      </c>
      <c r="B18" t="s">
        <v>38</v>
      </c>
      <c r="C18" s="1">
        <v>211216.92</v>
      </c>
      <c r="D18" s="1">
        <v>75593.62000000001</v>
      </c>
      <c r="E18" s="1">
        <v>286810.54000000004</v>
      </c>
      <c r="F18" t="s">
        <v>371</v>
      </c>
    </row>
    <row r="19" spans="1:6">
      <c r="A19" t="s">
        <v>39</v>
      </c>
      <c r="B19" t="s">
        <v>40</v>
      </c>
      <c r="C19" s="1">
        <v>6086.72</v>
      </c>
      <c r="D19" s="1">
        <v>32006.54</v>
      </c>
      <c r="E19" s="1">
        <v>38093.26</v>
      </c>
      <c r="F19" t="s">
        <v>371</v>
      </c>
    </row>
    <row r="20" spans="1:6">
      <c r="A20" t="s">
        <v>41</v>
      </c>
      <c r="B20" t="s">
        <v>42</v>
      </c>
      <c r="C20" s="1">
        <v>43618.990000000005</v>
      </c>
      <c r="D20" s="1">
        <v>539.93000000000006</v>
      </c>
      <c r="E20" s="1">
        <v>44158.920000000006</v>
      </c>
      <c r="F20" t="s">
        <v>371</v>
      </c>
    </row>
    <row r="21" spans="1:6">
      <c r="A21" t="s">
        <v>43</v>
      </c>
      <c r="B21" t="s">
        <v>44</v>
      </c>
      <c r="C21" s="1">
        <v>3754.98</v>
      </c>
      <c r="D21" s="1">
        <v>3.77</v>
      </c>
      <c r="E21" s="1">
        <v>3758.75</v>
      </c>
      <c r="F21" t="s">
        <v>371</v>
      </c>
    </row>
    <row r="22" spans="1:6">
      <c r="A22" t="s">
        <v>45</v>
      </c>
      <c r="B22" t="s">
        <v>46</v>
      </c>
      <c r="C22" s="1">
        <v>30917.25</v>
      </c>
      <c r="D22" s="1">
        <v>79785.81</v>
      </c>
      <c r="E22" s="1">
        <v>110703.06000000001</v>
      </c>
      <c r="F22" t="s">
        <v>371</v>
      </c>
    </row>
    <row r="23" spans="1:6">
      <c r="A23" t="s">
        <v>47</v>
      </c>
      <c r="B23" t="s">
        <v>48</v>
      </c>
      <c r="C23" s="1">
        <v>6232.2400000000007</v>
      </c>
      <c r="D23" s="1">
        <v>6.23</v>
      </c>
      <c r="E23" s="1">
        <v>6238.47</v>
      </c>
      <c r="F23" t="s">
        <v>371</v>
      </c>
    </row>
    <row r="24" spans="1:6">
      <c r="A24" t="s">
        <v>49</v>
      </c>
      <c r="B24" t="s">
        <v>50</v>
      </c>
      <c r="C24" s="1">
        <v>1298041.75</v>
      </c>
      <c r="D24" s="1">
        <v>46643.83</v>
      </c>
      <c r="E24" s="1">
        <v>1344685.58</v>
      </c>
      <c r="F24" t="s">
        <v>371</v>
      </c>
    </row>
    <row r="25" spans="1:6">
      <c r="A25" t="s">
        <v>51</v>
      </c>
      <c r="B25" t="s">
        <v>52</v>
      </c>
      <c r="C25" s="1">
        <v>273673.73000000004</v>
      </c>
      <c r="D25" s="1">
        <v>-212181.94</v>
      </c>
      <c r="E25" s="1">
        <v>61491.79</v>
      </c>
      <c r="F25" t="s">
        <v>371</v>
      </c>
    </row>
    <row r="26" spans="1:6">
      <c r="A26" t="s">
        <v>53</v>
      </c>
      <c r="B26" t="s">
        <v>54</v>
      </c>
      <c r="C26" s="1">
        <v>105355.56000000001</v>
      </c>
      <c r="D26" s="1">
        <v>1304.1000000000001</v>
      </c>
      <c r="E26" s="1">
        <v>106659.66</v>
      </c>
      <c r="F26" t="s">
        <v>371</v>
      </c>
    </row>
    <row r="27" spans="1:6">
      <c r="A27" t="s">
        <v>55</v>
      </c>
      <c r="B27" t="s">
        <v>56</v>
      </c>
      <c r="C27" s="1">
        <v>-19185.45</v>
      </c>
      <c r="D27" s="1">
        <v>931.46</v>
      </c>
      <c r="E27" s="1">
        <v>-18253.990000000002</v>
      </c>
    </row>
    <row r="28" spans="1:6">
      <c r="A28" t="s">
        <v>57</v>
      </c>
      <c r="B28" t="s">
        <v>58</v>
      </c>
      <c r="C28" s="1">
        <v>9040.77</v>
      </c>
      <c r="D28" s="1">
        <v>14238.51</v>
      </c>
      <c r="E28" s="1">
        <v>23279.280000000002</v>
      </c>
    </row>
    <row r="29" spans="1:6">
      <c r="A29" t="s">
        <v>59</v>
      </c>
      <c r="B29" t="s">
        <v>60</v>
      </c>
      <c r="C29" s="1">
        <v>15516.730000000001</v>
      </c>
      <c r="D29" s="1">
        <v>-7674.1200000000008</v>
      </c>
      <c r="E29" s="1">
        <v>7842.6100000000006</v>
      </c>
    </row>
    <row r="30" spans="1:6">
      <c r="A30" t="s">
        <v>61</v>
      </c>
      <c r="B30" t="s">
        <v>62</v>
      </c>
      <c r="C30" s="1">
        <v>-34023.69</v>
      </c>
      <c r="D30" s="1">
        <v>16153</v>
      </c>
      <c r="E30" s="1">
        <v>-17870.690000000002</v>
      </c>
    </row>
    <row r="31" spans="1:6">
      <c r="A31" t="s">
        <v>63</v>
      </c>
      <c r="B31" t="s">
        <v>64</v>
      </c>
      <c r="C31" s="1">
        <v>19484.91</v>
      </c>
      <c r="D31" s="1">
        <v>-10258.040000000001</v>
      </c>
      <c r="E31" s="1">
        <v>9226.8700000000008</v>
      </c>
    </row>
    <row r="32" spans="1:6">
      <c r="A32" t="s">
        <v>65</v>
      </c>
      <c r="B32" t="s">
        <v>66</v>
      </c>
      <c r="C32" s="1">
        <v>-2978.88</v>
      </c>
      <c r="D32" s="1">
        <v>11829.11</v>
      </c>
      <c r="E32" s="1">
        <v>8850.23</v>
      </c>
    </row>
    <row r="33" spans="1:5">
      <c r="A33" t="s">
        <v>67</v>
      </c>
      <c r="B33" t="s">
        <v>68</v>
      </c>
      <c r="C33" s="1">
        <v>-11118.87</v>
      </c>
      <c r="D33" s="1">
        <v>36.97</v>
      </c>
      <c r="E33" s="1">
        <v>-11081.9</v>
      </c>
    </row>
    <row r="34" spans="1:5">
      <c r="A34" t="s">
        <v>69</v>
      </c>
      <c r="B34" t="s">
        <v>70</v>
      </c>
      <c r="C34" s="1">
        <v>-3915.23</v>
      </c>
      <c r="D34" s="1">
        <v>42950.400000000001</v>
      </c>
      <c r="E34" s="1">
        <v>39035.17</v>
      </c>
    </row>
    <row r="35" spans="1:5">
      <c r="A35" t="s">
        <v>71</v>
      </c>
      <c r="B35" t="s">
        <v>72</v>
      </c>
      <c r="C35" s="1">
        <v>32604.81</v>
      </c>
      <c r="D35" s="1">
        <v>40788.28</v>
      </c>
      <c r="E35" s="1">
        <v>73393.09</v>
      </c>
    </row>
    <row r="36" spans="1:5">
      <c r="A36" t="s">
        <v>73</v>
      </c>
      <c r="B36" t="s">
        <v>74</v>
      </c>
      <c r="C36" s="1">
        <v>-1535.91</v>
      </c>
      <c r="D36" s="1">
        <v>47847.51</v>
      </c>
      <c r="E36" s="1">
        <v>46311.600000000006</v>
      </c>
    </row>
    <row r="37" spans="1:5">
      <c r="A37" t="s">
        <v>75</v>
      </c>
      <c r="B37" t="s">
        <v>76</v>
      </c>
      <c r="C37" s="1">
        <v>-5968.22</v>
      </c>
      <c r="D37" s="1">
        <v>5492.3200000000006</v>
      </c>
      <c r="E37" s="1">
        <v>-475.90000000000003</v>
      </c>
    </row>
    <row r="38" spans="1:5">
      <c r="A38" t="s">
        <v>77</v>
      </c>
      <c r="B38" t="s">
        <v>78</v>
      </c>
      <c r="C38" s="1">
        <v>-7191.77</v>
      </c>
      <c r="D38" s="1">
        <v>37278.090000000004</v>
      </c>
      <c r="E38" s="1">
        <v>30086.32</v>
      </c>
    </row>
    <row r="39" spans="1:5">
      <c r="A39" t="s">
        <v>79</v>
      </c>
      <c r="B39" t="s">
        <v>80</v>
      </c>
      <c r="C39" s="1">
        <v>9928.25</v>
      </c>
      <c r="D39" s="1">
        <v>26272.2</v>
      </c>
      <c r="E39" s="1">
        <v>36200.450000000004</v>
      </c>
    </row>
    <row r="40" spans="1:5">
      <c r="A40" t="s">
        <v>81</v>
      </c>
      <c r="B40" t="s">
        <v>82</v>
      </c>
      <c r="C40" s="1">
        <v>-6984.55</v>
      </c>
      <c r="D40" s="1">
        <v>-1543.7</v>
      </c>
      <c r="E40" s="1">
        <v>-8528.25</v>
      </c>
    </row>
    <row r="41" spans="1:5">
      <c r="A41" t="s">
        <v>83</v>
      </c>
      <c r="B41" t="s">
        <v>84</v>
      </c>
      <c r="C41" s="1">
        <v>-55933.83</v>
      </c>
      <c r="D41" s="1">
        <v>52255.75</v>
      </c>
      <c r="E41" s="1">
        <v>-3678.0800000000004</v>
      </c>
    </row>
    <row r="42" spans="1:5">
      <c r="A42" t="s">
        <v>85</v>
      </c>
      <c r="B42" t="s">
        <v>86</v>
      </c>
      <c r="C42" s="1">
        <v>-1145.06</v>
      </c>
      <c r="D42" s="1">
        <v>23175.07</v>
      </c>
      <c r="E42" s="1">
        <v>22030.010000000002</v>
      </c>
    </row>
    <row r="43" spans="1:5">
      <c r="A43" t="s">
        <v>87</v>
      </c>
      <c r="B43" t="s">
        <v>88</v>
      </c>
      <c r="C43" s="1">
        <v>-2267.2200000000003</v>
      </c>
      <c r="D43" s="1">
        <v>49132.86</v>
      </c>
      <c r="E43" s="1">
        <v>46865.64</v>
      </c>
    </row>
    <row r="44" spans="1:5">
      <c r="A44" t="s">
        <v>89</v>
      </c>
      <c r="B44" t="s">
        <v>90</v>
      </c>
      <c r="C44" s="1">
        <v>-13625.33</v>
      </c>
      <c r="D44" s="1">
        <v>22317.75</v>
      </c>
      <c r="E44" s="1">
        <v>8692.42</v>
      </c>
    </row>
    <row r="45" spans="1:5">
      <c r="A45" t="s">
        <v>91</v>
      </c>
      <c r="B45" t="s">
        <v>92</v>
      </c>
      <c r="C45" s="1">
        <v>24168.420000000002</v>
      </c>
      <c r="D45" s="1">
        <v>5444.02</v>
      </c>
      <c r="E45" s="1">
        <v>29612.440000000002</v>
      </c>
    </row>
    <row r="46" spans="1:5">
      <c r="A46" t="s">
        <v>93</v>
      </c>
      <c r="B46" t="s">
        <v>94</v>
      </c>
      <c r="C46" s="1">
        <v>-5062.59</v>
      </c>
      <c r="D46" s="1">
        <v>-14201.230000000001</v>
      </c>
      <c r="E46" s="1">
        <v>-19263.82</v>
      </c>
    </row>
    <row r="47" spans="1:5">
      <c r="A47" t="s">
        <v>95</v>
      </c>
      <c r="B47" t="s">
        <v>96</v>
      </c>
      <c r="C47" s="1">
        <v>4940</v>
      </c>
      <c r="D47" s="1">
        <v>-65489.490000000005</v>
      </c>
      <c r="E47" s="1">
        <v>-60549.490000000005</v>
      </c>
    </row>
    <row r="48" spans="1:5">
      <c r="A48" t="s">
        <v>97</v>
      </c>
      <c r="B48" t="s">
        <v>98</v>
      </c>
      <c r="C48" s="1">
        <v>-1021.61</v>
      </c>
      <c r="D48" s="1">
        <v>0</v>
      </c>
      <c r="E48" s="1">
        <v>-1021.61</v>
      </c>
    </row>
    <row r="49" spans="1:5">
      <c r="A49" t="s">
        <v>99</v>
      </c>
      <c r="B49" t="s">
        <v>100</v>
      </c>
      <c r="C49" s="1">
        <v>-10919.65</v>
      </c>
      <c r="D49" s="1">
        <v>-1500</v>
      </c>
      <c r="E49" s="1">
        <v>-12419.650000000001</v>
      </c>
    </row>
    <row r="50" spans="1:5">
      <c r="A50" t="s">
        <v>101</v>
      </c>
      <c r="B50" t="s">
        <v>102</v>
      </c>
      <c r="C50" s="1">
        <v>0</v>
      </c>
      <c r="D50" s="1">
        <v>3403.3900000000003</v>
      </c>
      <c r="E50" s="1">
        <v>3403.3900000000003</v>
      </c>
    </row>
    <row r="51" spans="1:5">
      <c r="A51" t="s">
        <v>103</v>
      </c>
      <c r="B51" t="s">
        <v>104</v>
      </c>
      <c r="C51" s="1">
        <v>-21088.7</v>
      </c>
      <c r="D51" s="1">
        <v>-8107.9800000000005</v>
      </c>
      <c r="E51" s="1">
        <v>-29196.68</v>
      </c>
    </row>
    <row r="52" spans="1:5">
      <c r="A52" t="s">
        <v>105</v>
      </c>
      <c r="B52" t="s">
        <v>106</v>
      </c>
      <c r="C52" s="1">
        <v>-12491.32</v>
      </c>
      <c r="D52" s="1">
        <v>24572.460000000003</v>
      </c>
      <c r="E52" s="1">
        <v>12081.140000000001</v>
      </c>
    </row>
    <row r="53" spans="1:5">
      <c r="A53" t="s">
        <v>107</v>
      </c>
      <c r="B53" t="s">
        <v>108</v>
      </c>
      <c r="C53" s="1">
        <v>-12117.36</v>
      </c>
      <c r="D53" s="1">
        <v>-20125</v>
      </c>
      <c r="E53" s="1">
        <v>-32242.36</v>
      </c>
    </row>
    <row r="54" spans="1:5">
      <c r="A54" t="s">
        <v>109</v>
      </c>
      <c r="B54" t="s">
        <v>110</v>
      </c>
      <c r="C54" s="1">
        <v>-31245.530000000002</v>
      </c>
      <c r="D54" s="1">
        <v>2145.58</v>
      </c>
      <c r="E54" s="1">
        <v>-29099.95</v>
      </c>
    </row>
    <row r="55" spans="1:5">
      <c r="A55" t="s">
        <v>111</v>
      </c>
      <c r="B55" t="s">
        <v>112</v>
      </c>
      <c r="C55" s="1">
        <v>2550.3900000000003</v>
      </c>
      <c r="D55" s="1">
        <v>-555.20000000000005</v>
      </c>
      <c r="E55" s="1">
        <v>1995.19</v>
      </c>
    </row>
    <row r="56" spans="1:5">
      <c r="A56" t="s">
        <v>113</v>
      </c>
      <c r="B56" t="s">
        <v>114</v>
      </c>
      <c r="C56" s="1">
        <v>-6874.3</v>
      </c>
      <c r="D56" s="1">
        <v>-2766.28</v>
      </c>
      <c r="E56" s="1">
        <v>-9640.58</v>
      </c>
    </row>
    <row r="57" spans="1:5">
      <c r="A57" t="s">
        <v>115</v>
      </c>
      <c r="B57" t="s">
        <v>116</v>
      </c>
      <c r="C57" s="1">
        <v>5918.9900000000007</v>
      </c>
      <c r="D57" s="1">
        <v>6133.5300000000007</v>
      </c>
      <c r="E57" s="1">
        <v>12052.52</v>
      </c>
    </row>
    <row r="58" spans="1:5">
      <c r="A58" t="s">
        <v>117</v>
      </c>
      <c r="B58" t="s">
        <v>118</v>
      </c>
      <c r="C58" s="1">
        <v>0</v>
      </c>
      <c r="D58" s="1">
        <v>-540</v>
      </c>
      <c r="E58" s="1">
        <v>-540</v>
      </c>
    </row>
    <row r="59" spans="1:5">
      <c r="A59" t="s">
        <v>119</v>
      </c>
      <c r="B59" t="s">
        <v>120</v>
      </c>
      <c r="C59" s="1">
        <v>-18559.02</v>
      </c>
      <c r="D59" s="1">
        <v>-123522.21</v>
      </c>
      <c r="E59" s="1">
        <v>-142081.23000000001</v>
      </c>
    </row>
    <row r="60" spans="1:5">
      <c r="A60" t="s">
        <v>121</v>
      </c>
      <c r="B60" t="s">
        <v>122</v>
      </c>
      <c r="C60" s="1">
        <v>-2534.73</v>
      </c>
      <c r="D60" s="1">
        <v>-19467</v>
      </c>
      <c r="E60" s="1">
        <v>-22001.73</v>
      </c>
    </row>
    <row r="61" spans="1:5">
      <c r="A61" t="s">
        <v>123</v>
      </c>
      <c r="B61" t="s">
        <v>124</v>
      </c>
      <c r="C61" s="1">
        <v>-470352.84</v>
      </c>
      <c r="D61" s="1">
        <v>-35330.230000000003</v>
      </c>
      <c r="E61" s="1">
        <v>-505683.07</v>
      </c>
    </row>
    <row r="62" spans="1:5">
      <c r="A62" t="s">
        <v>125</v>
      </c>
      <c r="B62" t="s">
        <v>126</v>
      </c>
      <c r="C62" s="1">
        <v>-177217.26</v>
      </c>
      <c r="D62" s="1">
        <v>128458.71</v>
      </c>
      <c r="E62" s="1">
        <v>-48758.55</v>
      </c>
    </row>
    <row r="63" spans="1:5">
      <c r="A63" t="s">
        <v>127</v>
      </c>
      <c r="B63" t="s">
        <v>128</v>
      </c>
      <c r="C63" s="1">
        <v>46095.69</v>
      </c>
      <c r="D63" s="1">
        <v>31534.980000000003</v>
      </c>
      <c r="E63" s="1">
        <v>77630.67</v>
      </c>
    </row>
    <row r="64" spans="1:5">
      <c r="A64" t="s">
        <v>129</v>
      </c>
      <c r="B64" t="s">
        <v>130</v>
      </c>
      <c r="C64" s="1">
        <v>0</v>
      </c>
      <c r="D64" s="1">
        <v>0</v>
      </c>
      <c r="E64" s="1">
        <v>0</v>
      </c>
    </row>
    <row r="65" spans="1:6">
      <c r="A65" t="s">
        <v>131</v>
      </c>
      <c r="B65" t="s">
        <v>132</v>
      </c>
      <c r="C65" s="1">
        <v>-446872.98000000004</v>
      </c>
      <c r="D65" s="1">
        <v>166575.78</v>
      </c>
      <c r="E65" s="1">
        <v>-280297.2</v>
      </c>
    </row>
    <row r="66" spans="1:6">
      <c r="A66" t="s">
        <v>133</v>
      </c>
      <c r="B66" t="s">
        <v>134</v>
      </c>
      <c r="C66" s="1">
        <v>-469557.99000000005</v>
      </c>
      <c r="D66" s="1">
        <v>-42284.78</v>
      </c>
      <c r="E66" s="1">
        <v>-511842.77</v>
      </c>
    </row>
    <row r="67" spans="1:6">
      <c r="A67" t="s">
        <v>135</v>
      </c>
      <c r="B67" t="s">
        <v>136</v>
      </c>
      <c r="C67" s="1">
        <v>-698627.39</v>
      </c>
      <c r="D67" s="1">
        <v>21625.61</v>
      </c>
      <c r="E67" s="1">
        <v>-677001.78</v>
      </c>
    </row>
    <row r="68" spans="1:6">
      <c r="A68" t="s">
        <v>137</v>
      </c>
      <c r="B68" t="s">
        <v>138</v>
      </c>
      <c r="C68" s="1">
        <v>-7800</v>
      </c>
      <c r="D68" s="1">
        <v>0</v>
      </c>
      <c r="E68" s="1">
        <v>-7800</v>
      </c>
      <c r="F68" t="s">
        <v>366</v>
      </c>
    </row>
    <row r="69" spans="1:6">
      <c r="A69" t="s">
        <v>139</v>
      </c>
      <c r="B69" t="s">
        <v>140</v>
      </c>
      <c r="C69" s="1">
        <v>-1000000</v>
      </c>
      <c r="D69" s="1">
        <v>0</v>
      </c>
      <c r="E69" s="1">
        <v>-1000000</v>
      </c>
      <c r="F69" t="s">
        <v>372</v>
      </c>
    </row>
    <row r="70" spans="1:6">
      <c r="A70" t="s">
        <v>141</v>
      </c>
      <c r="B70" t="s">
        <v>142</v>
      </c>
      <c r="C70" s="1">
        <v>-277790</v>
      </c>
      <c r="D70" s="1">
        <v>0</v>
      </c>
      <c r="E70" s="1">
        <v>-277790</v>
      </c>
      <c r="F70" t="s">
        <v>372</v>
      </c>
    </row>
    <row r="71" spans="1:6">
      <c r="A71" t="s">
        <v>143</v>
      </c>
      <c r="B71" t="s">
        <v>144</v>
      </c>
      <c r="C71" s="1">
        <v>-183642.03</v>
      </c>
      <c r="D71" s="1">
        <v>10937.12</v>
      </c>
      <c r="E71" s="1">
        <v>-172704.91</v>
      </c>
      <c r="F71" t="s">
        <v>373</v>
      </c>
    </row>
    <row r="72" spans="1:6">
      <c r="A72" t="s">
        <v>145</v>
      </c>
      <c r="B72" t="s">
        <v>146</v>
      </c>
      <c r="C72" s="1">
        <v>-1900</v>
      </c>
      <c r="D72" s="1">
        <v>1900</v>
      </c>
      <c r="E72" s="1">
        <v>0</v>
      </c>
    </row>
    <row r="73" spans="1:6">
      <c r="A73" t="s">
        <v>147</v>
      </c>
      <c r="B73" t="s">
        <v>148</v>
      </c>
      <c r="C73" s="1">
        <v>-10000</v>
      </c>
      <c r="D73" s="1">
        <v>0</v>
      </c>
      <c r="E73" s="1">
        <v>-10000</v>
      </c>
      <c r="F73" t="s">
        <v>372</v>
      </c>
    </row>
    <row r="74" spans="1:6">
      <c r="A74" t="s">
        <v>149</v>
      </c>
      <c r="B74" t="s">
        <v>150</v>
      </c>
      <c r="C74" s="1">
        <v>-35000</v>
      </c>
      <c r="D74" s="1">
        <v>0</v>
      </c>
      <c r="E74" s="1">
        <v>-35000</v>
      </c>
      <c r="F74" t="s">
        <v>372</v>
      </c>
    </row>
    <row r="75" spans="1:6">
      <c r="A75" t="s">
        <v>151</v>
      </c>
      <c r="B75" t="s">
        <v>152</v>
      </c>
      <c r="C75" s="1">
        <v>-10000</v>
      </c>
      <c r="D75" s="1">
        <v>0</v>
      </c>
      <c r="E75" s="1">
        <v>-10000</v>
      </c>
      <c r="F75" t="s">
        <v>372</v>
      </c>
    </row>
    <row r="76" spans="1:6">
      <c r="A76" t="s">
        <v>153</v>
      </c>
      <c r="B76" t="s">
        <v>154</v>
      </c>
      <c r="C76" s="1">
        <v>0</v>
      </c>
      <c r="D76" s="1">
        <v>0</v>
      </c>
      <c r="E76" s="1">
        <v>0</v>
      </c>
      <c r="F76" t="s">
        <v>374</v>
      </c>
    </row>
    <row r="77" spans="1:6">
      <c r="A77" t="s">
        <v>155</v>
      </c>
      <c r="B77" t="s">
        <v>156</v>
      </c>
      <c r="C77" s="1">
        <v>-38602.870000000003</v>
      </c>
      <c r="D77" s="1">
        <v>32346</v>
      </c>
      <c r="E77" s="1">
        <v>-6256.87</v>
      </c>
      <c r="F77" t="s">
        <v>375</v>
      </c>
    </row>
    <row r="78" spans="1:6">
      <c r="A78" t="s">
        <v>157</v>
      </c>
      <c r="B78" t="s">
        <v>158</v>
      </c>
      <c r="C78" s="1">
        <v>0</v>
      </c>
      <c r="D78" s="1">
        <v>-48.39</v>
      </c>
      <c r="E78" s="1">
        <v>-48.39</v>
      </c>
    </row>
    <row r="79" spans="1:6">
      <c r="A79" t="s">
        <v>159</v>
      </c>
      <c r="B79" t="s">
        <v>160</v>
      </c>
      <c r="C79" s="1">
        <v>-17281.59</v>
      </c>
      <c r="D79" s="1">
        <v>11490.59</v>
      </c>
      <c r="E79" s="1">
        <v>-5791</v>
      </c>
      <c r="F79" t="s">
        <v>375</v>
      </c>
    </row>
    <row r="80" spans="1:6">
      <c r="A80" t="s">
        <v>161</v>
      </c>
      <c r="B80" t="s">
        <v>162</v>
      </c>
      <c r="C80" s="1">
        <v>-8493.3900000000012</v>
      </c>
      <c r="D80" s="1">
        <v>1758.63</v>
      </c>
      <c r="E80" s="1">
        <v>-6734.76</v>
      </c>
      <c r="F80" t="s">
        <v>375</v>
      </c>
    </row>
    <row r="81" spans="1:6">
      <c r="A81" t="s">
        <v>163</v>
      </c>
      <c r="B81" t="s">
        <v>164</v>
      </c>
      <c r="C81" s="1">
        <v>-16000</v>
      </c>
      <c r="D81" s="1">
        <v>16000</v>
      </c>
      <c r="E81" s="1">
        <v>0</v>
      </c>
    </row>
    <row r="82" spans="1:6">
      <c r="A82" t="s">
        <v>165</v>
      </c>
      <c r="B82" t="s">
        <v>166</v>
      </c>
      <c r="C82" s="1">
        <v>-25679</v>
      </c>
      <c r="D82" s="1">
        <v>25679</v>
      </c>
      <c r="E82" s="1">
        <v>0</v>
      </c>
    </row>
    <row r="83" spans="1:6">
      <c r="A83" t="s">
        <v>167</v>
      </c>
      <c r="B83" t="s">
        <v>168</v>
      </c>
      <c r="C83" s="1">
        <v>-60236.700000000004</v>
      </c>
      <c r="D83" s="1">
        <v>12472.730000000001</v>
      </c>
      <c r="E83" s="1">
        <v>-47763.97</v>
      </c>
      <c r="F83" t="s">
        <v>375</v>
      </c>
    </row>
    <row r="84" spans="1:6">
      <c r="A84" t="s">
        <v>169</v>
      </c>
      <c r="B84" t="s">
        <v>170</v>
      </c>
      <c r="C84" s="1">
        <v>-1686</v>
      </c>
      <c r="D84" s="1">
        <v>1686</v>
      </c>
      <c r="E84" s="1">
        <v>0</v>
      </c>
    </row>
    <row r="85" spans="1:6">
      <c r="A85" t="s">
        <v>171</v>
      </c>
      <c r="B85" t="s">
        <v>172</v>
      </c>
      <c r="C85" s="1">
        <v>-157564.69</v>
      </c>
      <c r="D85" s="1">
        <v>157564.69</v>
      </c>
      <c r="E85" s="1">
        <v>0</v>
      </c>
    </row>
    <row r="86" spans="1:6">
      <c r="A86" t="s">
        <v>173</v>
      </c>
      <c r="B86" t="s">
        <v>174</v>
      </c>
      <c r="C86" s="1">
        <v>0</v>
      </c>
      <c r="D86" s="1">
        <v>-644755.65</v>
      </c>
      <c r="E86" s="1">
        <v>-644755.65</v>
      </c>
      <c r="F86" t="s">
        <v>375</v>
      </c>
    </row>
    <row r="87" spans="1:6">
      <c r="A87" t="s">
        <v>175</v>
      </c>
      <c r="B87" t="s">
        <v>176</v>
      </c>
      <c r="C87" s="1">
        <v>0</v>
      </c>
      <c r="D87" s="1">
        <v>-482786.25</v>
      </c>
      <c r="E87" s="1">
        <v>-482786.25</v>
      </c>
    </row>
    <row r="88" spans="1:6">
      <c r="A88" t="s">
        <v>177</v>
      </c>
      <c r="B88" t="s">
        <v>178</v>
      </c>
      <c r="C88" s="1">
        <v>0</v>
      </c>
      <c r="D88" s="1">
        <v>-16000</v>
      </c>
      <c r="E88" s="1">
        <v>-16000</v>
      </c>
    </row>
    <row r="89" spans="1:6">
      <c r="A89" t="s">
        <v>179</v>
      </c>
      <c r="B89" t="s">
        <v>180</v>
      </c>
      <c r="C89" s="1">
        <v>0</v>
      </c>
      <c r="D89" s="1">
        <v>181691</v>
      </c>
      <c r="E89" s="1">
        <v>181691</v>
      </c>
    </row>
    <row r="90" spans="1:6">
      <c r="A90" t="s">
        <v>181</v>
      </c>
      <c r="B90" t="s">
        <v>182</v>
      </c>
      <c r="C90" s="1">
        <v>0</v>
      </c>
      <c r="D90" s="1">
        <v>-643200</v>
      </c>
      <c r="E90" s="1">
        <v>-643200</v>
      </c>
    </row>
    <row r="91" spans="1:6">
      <c r="A91" t="s">
        <v>183</v>
      </c>
      <c r="B91" t="s">
        <v>184</v>
      </c>
      <c r="C91" s="1">
        <v>0</v>
      </c>
      <c r="D91" s="1">
        <v>-50434</v>
      </c>
      <c r="E91" s="1">
        <v>-50434</v>
      </c>
    </row>
    <row r="92" spans="1:6">
      <c r="A92" t="s">
        <v>185</v>
      </c>
      <c r="B92" t="s">
        <v>186</v>
      </c>
      <c r="C92" s="1">
        <v>0</v>
      </c>
      <c r="D92" s="1">
        <v>-142358</v>
      </c>
      <c r="E92" s="1">
        <v>-142358</v>
      </c>
    </row>
    <row r="93" spans="1:6">
      <c r="A93" t="s">
        <v>187</v>
      </c>
      <c r="B93" t="s">
        <v>188</v>
      </c>
      <c r="C93" s="1">
        <v>0</v>
      </c>
      <c r="D93" s="1">
        <v>-98401</v>
      </c>
      <c r="E93" s="1">
        <v>-98401</v>
      </c>
    </row>
    <row r="94" spans="1:6">
      <c r="A94" t="s">
        <v>189</v>
      </c>
      <c r="B94" t="s">
        <v>190</v>
      </c>
      <c r="C94" s="1">
        <v>0</v>
      </c>
      <c r="D94" s="1">
        <v>0</v>
      </c>
      <c r="E94" s="1">
        <v>0</v>
      </c>
    </row>
    <row r="95" spans="1:6">
      <c r="A95" t="s">
        <v>191</v>
      </c>
      <c r="B95" t="s">
        <v>192</v>
      </c>
      <c r="C95" s="1">
        <v>0</v>
      </c>
      <c r="D95" s="1">
        <v>0</v>
      </c>
      <c r="E95" s="1">
        <v>0</v>
      </c>
    </row>
    <row r="96" spans="1:6">
      <c r="A96" t="s">
        <v>193</v>
      </c>
      <c r="B96" t="s">
        <v>194</v>
      </c>
      <c r="C96" s="1">
        <v>0</v>
      </c>
      <c r="D96" s="1">
        <v>-31097.43</v>
      </c>
      <c r="E96" s="1">
        <v>-31097.43</v>
      </c>
    </row>
    <row r="97" spans="1:5">
      <c r="A97" t="s">
        <v>195</v>
      </c>
      <c r="B97" t="s">
        <v>196</v>
      </c>
      <c r="C97" s="1">
        <v>0</v>
      </c>
      <c r="D97" s="1">
        <v>-180317.75</v>
      </c>
      <c r="E97" s="1">
        <v>-180317.75</v>
      </c>
    </row>
    <row r="98" spans="1:5">
      <c r="A98" t="s">
        <v>197</v>
      </c>
      <c r="B98" t="s">
        <v>198</v>
      </c>
      <c r="C98" s="1">
        <v>0</v>
      </c>
      <c r="D98" s="1">
        <v>-2720</v>
      </c>
      <c r="E98" s="1">
        <v>-2720</v>
      </c>
    </row>
    <row r="99" spans="1:5">
      <c r="A99" t="s">
        <v>199</v>
      </c>
      <c r="B99" t="s">
        <v>200</v>
      </c>
      <c r="C99" s="1">
        <v>0</v>
      </c>
      <c r="D99" s="1">
        <v>-18479.63</v>
      </c>
      <c r="E99" s="1">
        <v>-18479.63</v>
      </c>
    </row>
    <row r="100" spans="1:5">
      <c r="A100" t="s">
        <v>201</v>
      </c>
      <c r="B100" t="s">
        <v>202</v>
      </c>
      <c r="C100" s="1">
        <v>0</v>
      </c>
      <c r="D100" s="1">
        <v>-122055</v>
      </c>
      <c r="E100" s="1">
        <v>-122055</v>
      </c>
    </row>
    <row r="101" spans="1:5">
      <c r="A101" t="s">
        <v>203</v>
      </c>
      <c r="B101" t="s">
        <v>204</v>
      </c>
      <c r="C101" s="1">
        <v>0</v>
      </c>
      <c r="D101" s="1">
        <v>-141030</v>
      </c>
      <c r="E101" s="1">
        <v>-141030</v>
      </c>
    </row>
    <row r="102" spans="1:5">
      <c r="A102" t="s">
        <v>205</v>
      </c>
      <c r="B102" t="s">
        <v>206</v>
      </c>
      <c r="C102" s="1">
        <v>0</v>
      </c>
      <c r="D102" s="1">
        <v>-536491.61</v>
      </c>
      <c r="E102" s="1">
        <v>-536491.61</v>
      </c>
    </row>
    <row r="103" spans="1:5">
      <c r="A103" t="s">
        <v>207</v>
      </c>
      <c r="B103" t="s">
        <v>208</v>
      </c>
      <c r="C103" s="1">
        <v>0</v>
      </c>
      <c r="D103" s="1">
        <v>-639092.04</v>
      </c>
      <c r="E103" s="1">
        <v>-639092.04</v>
      </c>
    </row>
    <row r="104" spans="1:5">
      <c r="A104" t="s">
        <v>209</v>
      </c>
      <c r="B104" t="s">
        <v>210</v>
      </c>
      <c r="C104" s="1">
        <v>0</v>
      </c>
      <c r="D104" s="1">
        <v>-50</v>
      </c>
      <c r="E104" s="1">
        <v>-50</v>
      </c>
    </row>
    <row r="105" spans="1:5">
      <c r="A105" t="s">
        <v>211</v>
      </c>
      <c r="B105" t="s">
        <v>212</v>
      </c>
      <c r="C105" s="1">
        <v>0</v>
      </c>
      <c r="D105" s="1">
        <v>-62925</v>
      </c>
      <c r="E105" s="1">
        <v>-62925</v>
      </c>
    </row>
    <row r="106" spans="1:5">
      <c r="A106" t="s">
        <v>213</v>
      </c>
      <c r="B106" t="s">
        <v>214</v>
      </c>
      <c r="C106" s="1">
        <v>0</v>
      </c>
      <c r="D106" s="1">
        <v>-388480.99</v>
      </c>
      <c r="E106" s="1">
        <v>-388480.99</v>
      </c>
    </row>
    <row r="107" spans="1:5">
      <c r="A107" t="s">
        <v>215</v>
      </c>
      <c r="B107" t="s">
        <v>216</v>
      </c>
      <c r="C107" s="1">
        <v>0</v>
      </c>
      <c r="D107" s="1">
        <v>-455464.5</v>
      </c>
      <c r="E107" s="1">
        <v>-455464.5</v>
      </c>
    </row>
    <row r="108" spans="1:5">
      <c r="A108" t="s">
        <v>217</v>
      </c>
      <c r="B108" t="s">
        <v>218</v>
      </c>
      <c r="C108" s="1">
        <v>0</v>
      </c>
      <c r="D108" s="1">
        <v>-133553.25</v>
      </c>
      <c r="E108" s="1">
        <v>-133553.25</v>
      </c>
    </row>
    <row r="109" spans="1:5">
      <c r="A109" t="s">
        <v>219</v>
      </c>
      <c r="B109" t="s">
        <v>220</v>
      </c>
      <c r="C109" s="1">
        <v>0</v>
      </c>
      <c r="D109" s="1">
        <v>-338633.59</v>
      </c>
      <c r="E109" s="1">
        <v>-338633.59</v>
      </c>
    </row>
    <row r="110" spans="1:5">
      <c r="A110" t="s">
        <v>221</v>
      </c>
      <c r="B110" t="s">
        <v>222</v>
      </c>
      <c r="C110" s="1">
        <v>0</v>
      </c>
      <c r="D110" s="1">
        <v>3043</v>
      </c>
      <c r="E110" s="1">
        <v>3043</v>
      </c>
    </row>
    <row r="111" spans="1:5">
      <c r="A111" t="s">
        <v>223</v>
      </c>
      <c r="B111" t="s">
        <v>224</v>
      </c>
      <c r="C111" s="1">
        <v>0</v>
      </c>
      <c r="D111" s="1">
        <v>191804.32</v>
      </c>
      <c r="E111" s="1">
        <v>191804.32</v>
      </c>
    </row>
    <row r="112" spans="1:5">
      <c r="A112" t="s">
        <v>225</v>
      </c>
      <c r="B112" t="s">
        <v>226</v>
      </c>
      <c r="C112" s="1">
        <v>0</v>
      </c>
      <c r="D112" s="1">
        <v>516014.7</v>
      </c>
      <c r="E112" s="1">
        <v>516014.7</v>
      </c>
    </row>
    <row r="113" spans="1:5">
      <c r="A113" t="s">
        <v>227</v>
      </c>
      <c r="B113" t="s">
        <v>228</v>
      </c>
      <c r="C113" s="1">
        <v>0</v>
      </c>
      <c r="D113" s="1">
        <v>43914</v>
      </c>
      <c r="E113" s="1">
        <v>43914</v>
      </c>
    </row>
    <row r="114" spans="1:5">
      <c r="A114" t="s">
        <v>229</v>
      </c>
      <c r="B114" t="s">
        <v>230</v>
      </c>
      <c r="C114" s="1">
        <v>0</v>
      </c>
      <c r="D114" s="1">
        <v>60251.37</v>
      </c>
      <c r="E114" s="1">
        <v>60251.37</v>
      </c>
    </row>
    <row r="115" spans="1:5">
      <c r="A115" t="s">
        <v>231</v>
      </c>
      <c r="B115" t="s">
        <v>232</v>
      </c>
      <c r="C115" s="1">
        <v>0</v>
      </c>
      <c r="D115" s="1">
        <v>73559.900000000009</v>
      </c>
      <c r="E115" s="1">
        <v>73559.900000000009</v>
      </c>
    </row>
    <row r="116" spans="1:5">
      <c r="A116" t="s">
        <v>233</v>
      </c>
      <c r="B116" t="s">
        <v>162</v>
      </c>
      <c r="C116" s="1">
        <v>0</v>
      </c>
      <c r="D116" s="1">
        <v>8495.4700000000012</v>
      </c>
      <c r="E116" s="1">
        <v>8495.4700000000012</v>
      </c>
    </row>
    <row r="117" spans="1:5">
      <c r="A117" t="s">
        <v>234</v>
      </c>
      <c r="B117" t="s">
        <v>235</v>
      </c>
      <c r="C117" s="1">
        <v>0</v>
      </c>
      <c r="D117" s="1">
        <v>5723</v>
      </c>
      <c r="E117" s="1">
        <v>5723</v>
      </c>
    </row>
    <row r="118" spans="1:5">
      <c r="A118" t="s">
        <v>236</v>
      </c>
      <c r="B118" t="s">
        <v>237</v>
      </c>
      <c r="C118" s="1">
        <v>0</v>
      </c>
      <c r="D118" s="1">
        <v>8350</v>
      </c>
      <c r="E118" s="1">
        <v>8350</v>
      </c>
    </row>
    <row r="119" spans="1:5">
      <c r="A119" t="s">
        <v>238</v>
      </c>
      <c r="B119" t="s">
        <v>239</v>
      </c>
      <c r="C119" s="1">
        <v>0</v>
      </c>
      <c r="D119" s="1">
        <v>748</v>
      </c>
      <c r="E119" s="1">
        <v>748</v>
      </c>
    </row>
    <row r="120" spans="1:5">
      <c r="A120" t="s">
        <v>240</v>
      </c>
      <c r="B120" t="s">
        <v>241</v>
      </c>
      <c r="C120" s="1">
        <v>0</v>
      </c>
      <c r="D120" s="1">
        <v>1018</v>
      </c>
      <c r="E120" s="1">
        <v>1018</v>
      </c>
    </row>
    <row r="121" spans="1:5">
      <c r="A121" t="s">
        <v>242</v>
      </c>
      <c r="B121" t="s">
        <v>243</v>
      </c>
      <c r="C121" s="1">
        <v>0</v>
      </c>
      <c r="D121" s="1">
        <v>5723</v>
      </c>
      <c r="E121" s="1">
        <v>5723</v>
      </c>
    </row>
    <row r="122" spans="1:5">
      <c r="A122" t="s">
        <v>244</v>
      </c>
      <c r="B122" t="s">
        <v>245</v>
      </c>
      <c r="C122" s="1">
        <v>0</v>
      </c>
      <c r="D122" s="1">
        <v>37899</v>
      </c>
      <c r="E122" s="1">
        <v>37899</v>
      </c>
    </row>
    <row r="123" spans="1:5">
      <c r="A123" t="s">
        <v>246</v>
      </c>
      <c r="B123" t="s">
        <v>247</v>
      </c>
      <c r="C123" s="1">
        <v>0</v>
      </c>
      <c r="D123" s="1">
        <v>78192.600000000006</v>
      </c>
      <c r="E123" s="1">
        <v>78192.600000000006</v>
      </c>
    </row>
    <row r="124" spans="1:5">
      <c r="A124" t="s">
        <v>248</v>
      </c>
      <c r="B124" t="s">
        <v>249</v>
      </c>
      <c r="C124" s="1">
        <v>0</v>
      </c>
      <c r="D124" s="1">
        <v>52065.850000000006</v>
      </c>
      <c r="E124" s="1">
        <v>52065.850000000006</v>
      </c>
    </row>
    <row r="125" spans="1:5">
      <c r="A125" t="s">
        <v>250</v>
      </c>
      <c r="B125" t="s">
        <v>251</v>
      </c>
      <c r="C125" s="1">
        <v>0</v>
      </c>
      <c r="D125" s="1">
        <v>33140.25</v>
      </c>
      <c r="E125" s="1">
        <v>33140.25</v>
      </c>
    </row>
    <row r="126" spans="1:5">
      <c r="A126" t="s">
        <v>252</v>
      </c>
      <c r="B126" t="s">
        <v>253</v>
      </c>
      <c r="C126" s="1">
        <v>0</v>
      </c>
      <c r="D126" s="1">
        <v>41653.43</v>
      </c>
      <c r="E126" s="1">
        <v>41653.43</v>
      </c>
    </row>
    <row r="127" spans="1:5">
      <c r="A127" t="s">
        <v>254</v>
      </c>
      <c r="B127" t="s">
        <v>255</v>
      </c>
      <c r="C127" s="1">
        <v>0</v>
      </c>
      <c r="D127" s="1">
        <v>179.20000000000002</v>
      </c>
      <c r="E127" s="1">
        <v>179.20000000000002</v>
      </c>
    </row>
    <row r="128" spans="1:5">
      <c r="A128" t="s">
        <v>256</v>
      </c>
      <c r="B128" t="s">
        <v>257</v>
      </c>
      <c r="C128" s="1">
        <v>0</v>
      </c>
      <c r="D128" s="1">
        <v>812.5</v>
      </c>
      <c r="E128" s="1">
        <v>812.5</v>
      </c>
    </row>
    <row r="129" spans="1:5">
      <c r="A129" t="s">
        <v>258</v>
      </c>
      <c r="B129" t="s">
        <v>259</v>
      </c>
      <c r="C129" s="1">
        <v>0</v>
      </c>
      <c r="D129" s="1">
        <v>13124.650000000001</v>
      </c>
      <c r="E129" s="1">
        <v>13124.650000000001</v>
      </c>
    </row>
    <row r="130" spans="1:5">
      <c r="A130" t="s">
        <v>260</v>
      </c>
      <c r="B130" t="s">
        <v>261</v>
      </c>
      <c r="C130" s="1">
        <v>0</v>
      </c>
      <c r="D130" s="1">
        <v>11655</v>
      </c>
      <c r="E130" s="1">
        <v>11655</v>
      </c>
    </row>
    <row r="131" spans="1:5">
      <c r="A131" t="s">
        <v>262</v>
      </c>
      <c r="B131" t="s">
        <v>263</v>
      </c>
      <c r="C131" s="1">
        <v>0</v>
      </c>
      <c r="D131" s="1">
        <v>23955</v>
      </c>
      <c r="E131" s="1">
        <v>23955</v>
      </c>
    </row>
    <row r="132" spans="1:5">
      <c r="A132" t="s">
        <v>264</v>
      </c>
      <c r="B132" t="s">
        <v>265</v>
      </c>
      <c r="C132" s="1">
        <v>0</v>
      </c>
      <c r="D132" s="1">
        <v>40316.47</v>
      </c>
      <c r="E132" s="1">
        <v>40316.47</v>
      </c>
    </row>
    <row r="133" spans="1:5">
      <c r="A133" t="s">
        <v>266</v>
      </c>
      <c r="B133" t="s">
        <v>267</v>
      </c>
      <c r="C133" s="1">
        <v>0</v>
      </c>
      <c r="D133" s="1">
        <v>242122.53</v>
      </c>
      <c r="E133" s="1">
        <v>242122.53</v>
      </c>
    </row>
    <row r="134" spans="1:5">
      <c r="A134" t="s">
        <v>268</v>
      </c>
      <c r="B134" t="s">
        <v>269</v>
      </c>
      <c r="C134" s="1">
        <v>0</v>
      </c>
      <c r="D134" s="1">
        <v>301</v>
      </c>
      <c r="E134" s="1">
        <v>301</v>
      </c>
    </row>
    <row r="135" spans="1:5">
      <c r="A135" t="s">
        <v>270</v>
      </c>
      <c r="B135" t="s">
        <v>271</v>
      </c>
      <c r="C135" s="1">
        <v>0</v>
      </c>
      <c r="D135" s="1">
        <v>17420.25</v>
      </c>
      <c r="E135" s="1">
        <v>17420.25</v>
      </c>
    </row>
    <row r="136" spans="1:5">
      <c r="A136" t="s">
        <v>272</v>
      </c>
      <c r="B136" t="s">
        <v>273</v>
      </c>
      <c r="C136" s="1">
        <v>0</v>
      </c>
      <c r="D136" s="1">
        <v>73809.77</v>
      </c>
      <c r="E136" s="1">
        <v>73809.77</v>
      </c>
    </row>
    <row r="137" spans="1:5">
      <c r="A137" t="s">
        <v>274</v>
      </c>
      <c r="B137" t="s">
        <v>275</v>
      </c>
      <c r="C137" s="1">
        <v>0</v>
      </c>
      <c r="D137" s="1">
        <v>41415.22</v>
      </c>
      <c r="E137" s="1">
        <v>41415.22</v>
      </c>
    </row>
    <row r="138" spans="1:5">
      <c r="A138" t="s">
        <v>276</v>
      </c>
      <c r="B138" t="s">
        <v>277</v>
      </c>
      <c r="C138" s="1">
        <v>0</v>
      </c>
      <c r="D138" s="1">
        <v>46275</v>
      </c>
      <c r="E138" s="1">
        <v>46275</v>
      </c>
    </row>
    <row r="139" spans="1:5">
      <c r="A139" t="s">
        <v>278</v>
      </c>
      <c r="B139" t="s">
        <v>279</v>
      </c>
      <c r="C139" s="1">
        <v>0</v>
      </c>
      <c r="D139" s="1">
        <v>6000</v>
      </c>
      <c r="E139" s="1">
        <v>6000</v>
      </c>
    </row>
    <row r="140" spans="1:5">
      <c r="A140" t="s">
        <v>280</v>
      </c>
      <c r="B140" t="s">
        <v>281</v>
      </c>
      <c r="C140" s="1">
        <v>0</v>
      </c>
      <c r="D140" s="1">
        <v>157639.69</v>
      </c>
      <c r="E140" s="1">
        <v>157639.69</v>
      </c>
    </row>
    <row r="141" spans="1:5">
      <c r="A141" t="s">
        <v>282</v>
      </c>
      <c r="B141" t="s">
        <v>283</v>
      </c>
      <c r="C141" s="1">
        <v>0</v>
      </c>
      <c r="D141" s="1">
        <v>221275.56</v>
      </c>
      <c r="E141" s="1">
        <v>221275.56</v>
      </c>
    </row>
    <row r="142" spans="1:5">
      <c r="A142" t="s">
        <v>284</v>
      </c>
      <c r="B142" t="s">
        <v>285</v>
      </c>
      <c r="C142" s="1">
        <v>0</v>
      </c>
      <c r="D142" s="1">
        <v>37290.810000000005</v>
      </c>
      <c r="E142" s="1">
        <v>37290.810000000005</v>
      </c>
    </row>
    <row r="143" spans="1:5">
      <c r="A143" t="s">
        <v>286</v>
      </c>
      <c r="B143" t="s">
        <v>287</v>
      </c>
      <c r="C143" s="1">
        <v>0</v>
      </c>
      <c r="D143" s="1">
        <v>3398.3</v>
      </c>
      <c r="E143" s="1">
        <v>3398.3</v>
      </c>
    </row>
    <row r="144" spans="1:5">
      <c r="A144" t="s">
        <v>288</v>
      </c>
      <c r="B144" t="s">
        <v>289</v>
      </c>
      <c r="C144" s="1">
        <v>0</v>
      </c>
      <c r="D144" s="1">
        <v>950</v>
      </c>
      <c r="E144" s="1">
        <v>950</v>
      </c>
    </row>
    <row r="145" spans="1:5">
      <c r="A145" t="s">
        <v>290</v>
      </c>
      <c r="B145" t="s">
        <v>291</v>
      </c>
      <c r="C145" s="1">
        <v>0</v>
      </c>
      <c r="D145" s="1">
        <v>35280.050000000003</v>
      </c>
      <c r="E145" s="1">
        <v>35280.050000000003</v>
      </c>
    </row>
    <row r="146" spans="1:5">
      <c r="A146" t="s">
        <v>292</v>
      </c>
      <c r="B146" t="s">
        <v>293</v>
      </c>
      <c r="C146" s="1">
        <v>0</v>
      </c>
      <c r="D146" s="1">
        <v>698</v>
      </c>
      <c r="E146" s="1">
        <v>698</v>
      </c>
    </row>
    <row r="147" spans="1:5">
      <c r="A147" t="s">
        <v>294</v>
      </c>
      <c r="B147" t="s">
        <v>295</v>
      </c>
      <c r="C147" s="1">
        <v>0</v>
      </c>
      <c r="D147" s="1">
        <v>42989</v>
      </c>
      <c r="E147" s="1">
        <v>42989</v>
      </c>
    </row>
    <row r="148" spans="1:5">
      <c r="A148" t="s">
        <v>296</v>
      </c>
      <c r="B148" t="s">
        <v>297</v>
      </c>
      <c r="C148" s="1">
        <v>0</v>
      </c>
      <c r="D148" s="1">
        <v>489.05</v>
      </c>
      <c r="E148" s="1">
        <v>489.05</v>
      </c>
    </row>
    <row r="149" spans="1:5">
      <c r="A149" t="s">
        <v>298</v>
      </c>
      <c r="B149" t="s">
        <v>299</v>
      </c>
      <c r="C149" s="1">
        <v>0</v>
      </c>
      <c r="D149" s="1">
        <v>683.9</v>
      </c>
      <c r="E149" s="1">
        <v>683.9</v>
      </c>
    </row>
    <row r="150" spans="1:5">
      <c r="A150" t="s">
        <v>300</v>
      </c>
      <c r="B150" t="s">
        <v>301</v>
      </c>
      <c r="C150" s="1">
        <v>0</v>
      </c>
      <c r="D150" s="1">
        <v>5481.0700000000006</v>
      </c>
      <c r="E150" s="1">
        <v>5481.0700000000006</v>
      </c>
    </row>
    <row r="151" spans="1:5">
      <c r="A151" t="s">
        <v>302</v>
      </c>
      <c r="B151" t="s">
        <v>303</v>
      </c>
      <c r="C151" s="1">
        <v>0</v>
      </c>
      <c r="D151" s="1">
        <v>2967.86</v>
      </c>
      <c r="E151" s="1">
        <v>2967.86</v>
      </c>
    </row>
    <row r="152" spans="1:5">
      <c r="A152" t="s">
        <v>304</v>
      </c>
      <c r="B152" t="s">
        <v>305</v>
      </c>
      <c r="C152" s="1">
        <v>0</v>
      </c>
      <c r="D152" s="1">
        <v>17384.45</v>
      </c>
      <c r="E152" s="1">
        <v>17384.45</v>
      </c>
    </row>
    <row r="153" spans="1:5">
      <c r="A153" t="s">
        <v>306</v>
      </c>
      <c r="B153" t="s">
        <v>307</v>
      </c>
      <c r="C153" s="1">
        <v>0</v>
      </c>
      <c r="D153" s="1">
        <v>-0.14000000000000001</v>
      </c>
      <c r="E153" s="1">
        <v>-0.14000000000000001</v>
      </c>
    </row>
    <row r="154" spans="1:5">
      <c r="A154" t="s">
        <v>308</v>
      </c>
      <c r="B154" t="s">
        <v>309</v>
      </c>
      <c r="C154" s="1">
        <v>0</v>
      </c>
      <c r="D154" s="1">
        <v>2107</v>
      </c>
      <c r="E154" s="1">
        <v>2107</v>
      </c>
    </row>
    <row r="155" spans="1:5">
      <c r="A155" t="s">
        <v>310</v>
      </c>
      <c r="B155" t="s">
        <v>311</v>
      </c>
      <c r="C155" s="1">
        <v>0</v>
      </c>
      <c r="D155" s="1">
        <v>268945.74</v>
      </c>
      <c r="E155" s="1">
        <v>268945.74</v>
      </c>
    </row>
    <row r="156" spans="1:5">
      <c r="A156" t="s">
        <v>312</v>
      </c>
      <c r="B156" t="s">
        <v>313</v>
      </c>
      <c r="C156" s="1">
        <v>0</v>
      </c>
      <c r="D156" s="1">
        <v>244714.08000000002</v>
      </c>
      <c r="E156" s="1">
        <v>244714.08000000002</v>
      </c>
    </row>
    <row r="157" spans="1:5">
      <c r="A157" t="s">
        <v>314</v>
      </c>
      <c r="B157" t="s">
        <v>315</v>
      </c>
      <c r="C157" s="1">
        <v>0</v>
      </c>
      <c r="D157" s="1">
        <v>264637.7</v>
      </c>
      <c r="E157" s="1">
        <v>264637.7</v>
      </c>
    </row>
    <row r="158" spans="1:5">
      <c r="A158" t="s">
        <v>316</v>
      </c>
      <c r="B158" t="s">
        <v>317</v>
      </c>
      <c r="C158" s="1">
        <v>0</v>
      </c>
      <c r="D158" s="1">
        <v>2758</v>
      </c>
      <c r="E158" s="1">
        <v>2758</v>
      </c>
    </row>
    <row r="159" spans="1:5">
      <c r="A159" t="s">
        <v>318</v>
      </c>
      <c r="B159" t="s">
        <v>319</v>
      </c>
      <c r="C159" s="1">
        <v>0</v>
      </c>
      <c r="D159" s="1">
        <v>7932.34</v>
      </c>
      <c r="E159" s="1">
        <v>7932.34</v>
      </c>
    </row>
    <row r="160" spans="1:5">
      <c r="A160" t="s">
        <v>320</v>
      </c>
      <c r="B160" t="s">
        <v>321</v>
      </c>
      <c r="C160" s="1">
        <v>0</v>
      </c>
      <c r="D160" s="1">
        <v>44649.8</v>
      </c>
      <c r="E160" s="1">
        <v>44649.8</v>
      </c>
    </row>
    <row r="161" spans="1:5">
      <c r="A161" t="s">
        <v>322</v>
      </c>
      <c r="B161" t="s">
        <v>323</v>
      </c>
      <c r="C161" s="1">
        <v>0</v>
      </c>
      <c r="D161" s="1">
        <v>514926.39</v>
      </c>
      <c r="E161" s="1">
        <v>514926.39</v>
      </c>
    </row>
    <row r="162" spans="1:5">
      <c r="A162" t="s">
        <v>324</v>
      </c>
      <c r="B162" t="s">
        <v>325</v>
      </c>
      <c r="C162" s="1">
        <v>0</v>
      </c>
      <c r="D162" s="1">
        <v>22113.23</v>
      </c>
      <c r="E162" s="1">
        <v>22113.23</v>
      </c>
    </row>
    <row r="163" spans="1:5">
      <c r="A163" t="s">
        <v>326</v>
      </c>
      <c r="B163" t="s">
        <v>327</v>
      </c>
      <c r="C163" s="1">
        <v>0</v>
      </c>
      <c r="D163" s="1">
        <v>-2000</v>
      </c>
      <c r="E163" s="1">
        <v>-2000</v>
      </c>
    </row>
    <row r="164" spans="1:5">
      <c r="A164" t="s">
        <v>328</v>
      </c>
      <c r="B164" t="s">
        <v>329</v>
      </c>
      <c r="C164" s="1">
        <v>0</v>
      </c>
      <c r="D164" s="1">
        <v>0</v>
      </c>
      <c r="E164" s="1">
        <v>0</v>
      </c>
    </row>
    <row r="165" spans="1:5">
      <c r="A165" t="s">
        <v>330</v>
      </c>
      <c r="B165" t="s">
        <v>331</v>
      </c>
      <c r="C165" s="1">
        <v>0</v>
      </c>
      <c r="D165" s="1">
        <v>120783.20000000001</v>
      </c>
      <c r="E165" s="1">
        <v>120783.20000000001</v>
      </c>
    </row>
    <row r="166" spans="1:5">
      <c r="A166" t="s">
        <v>332</v>
      </c>
      <c r="B166" t="s">
        <v>333</v>
      </c>
      <c r="C166" s="1">
        <v>0</v>
      </c>
      <c r="D166" s="1">
        <v>71920</v>
      </c>
      <c r="E166" s="1">
        <v>71920</v>
      </c>
    </row>
    <row r="167" spans="1:5">
      <c r="A167" t="s">
        <v>334</v>
      </c>
      <c r="B167" t="s">
        <v>335</v>
      </c>
      <c r="C167" s="1">
        <v>0</v>
      </c>
      <c r="D167" s="1">
        <v>203210</v>
      </c>
      <c r="E167" s="1">
        <v>203210</v>
      </c>
    </row>
    <row r="168" spans="1:5">
      <c r="A168" t="s">
        <v>336</v>
      </c>
      <c r="B168" t="s">
        <v>337</v>
      </c>
      <c r="C168" s="1">
        <v>0</v>
      </c>
      <c r="D168" s="1">
        <v>13567.12</v>
      </c>
      <c r="E168" s="1">
        <v>13567.12</v>
      </c>
    </row>
    <row r="169" spans="1:5">
      <c r="A169" t="s">
        <v>338</v>
      </c>
      <c r="B169" t="s">
        <v>339</v>
      </c>
      <c r="C169" s="1">
        <v>0</v>
      </c>
      <c r="D169" s="1">
        <v>-63930.880000000005</v>
      </c>
      <c r="E169" s="1">
        <v>-63930.880000000005</v>
      </c>
    </row>
    <row r="170" spans="1:5">
      <c r="A170" t="s">
        <v>340</v>
      </c>
      <c r="B170" t="s">
        <v>341</v>
      </c>
      <c r="C170" s="1">
        <v>0</v>
      </c>
      <c r="D170" s="1">
        <v>644755.65</v>
      </c>
      <c r="E170" s="1">
        <v>644755.65</v>
      </c>
    </row>
    <row r="171" spans="1:5">
      <c r="A171" t="s">
        <v>342</v>
      </c>
      <c r="B171" t="s">
        <v>343</v>
      </c>
      <c r="C171" s="1">
        <v>0</v>
      </c>
      <c r="D171" s="1">
        <v>15791.16</v>
      </c>
      <c r="E171" s="1">
        <v>15791.16</v>
      </c>
    </row>
    <row r="172" spans="1:5">
      <c r="A172" t="s">
        <v>344</v>
      </c>
      <c r="B172" t="s">
        <v>345</v>
      </c>
      <c r="C172" s="1">
        <v>0</v>
      </c>
      <c r="D172" s="1">
        <v>197500</v>
      </c>
      <c r="E172" s="1">
        <v>197500</v>
      </c>
    </row>
    <row r="173" spans="1:5">
      <c r="A173" t="s">
        <v>346</v>
      </c>
      <c r="B173" t="s">
        <v>347</v>
      </c>
      <c r="C173" s="1">
        <v>0</v>
      </c>
      <c r="D173" s="1">
        <v>-52557.280000000006</v>
      </c>
      <c r="E173" s="1">
        <v>-52557.280000000006</v>
      </c>
    </row>
    <row r="174" spans="1:5">
      <c r="A174" t="s">
        <v>348</v>
      </c>
      <c r="B174" t="s">
        <v>349</v>
      </c>
      <c r="C174" s="1">
        <v>0</v>
      </c>
      <c r="D174" s="1">
        <v>0</v>
      </c>
      <c r="E174" s="1">
        <v>0</v>
      </c>
    </row>
    <row r="175" spans="1:5">
      <c r="A175" t="s">
        <v>350</v>
      </c>
      <c r="B175" t="s">
        <v>351</v>
      </c>
      <c r="C175" s="1">
        <v>0</v>
      </c>
      <c r="D175" s="1">
        <v>126</v>
      </c>
      <c r="E175" s="1">
        <v>126</v>
      </c>
    </row>
    <row r="176" spans="1:5">
      <c r="A176" t="s">
        <v>352</v>
      </c>
      <c r="B176" t="s">
        <v>353</v>
      </c>
      <c r="C176" s="1">
        <v>0</v>
      </c>
      <c r="D176" s="1">
        <v>941.11</v>
      </c>
      <c r="E176" s="1">
        <v>941.11</v>
      </c>
    </row>
    <row r="177" spans="1:5">
      <c r="A177" t="s">
        <v>354</v>
      </c>
      <c r="B177" t="s">
        <v>355</v>
      </c>
      <c r="C177" s="1">
        <v>0</v>
      </c>
      <c r="D177" s="1">
        <v>706.68000000000006</v>
      </c>
      <c r="E177" s="1">
        <v>706.68000000000006</v>
      </c>
    </row>
    <row r="178" spans="1:5">
      <c r="A178" t="s">
        <v>356</v>
      </c>
      <c r="B178" t="s">
        <v>357</v>
      </c>
      <c r="C178" s="1">
        <v>0</v>
      </c>
      <c r="D178" s="1">
        <v>-427228.08</v>
      </c>
      <c r="E178" s="1">
        <v>-427228.08</v>
      </c>
    </row>
    <row r="179" spans="1:5">
      <c r="A179" t="s">
        <v>358</v>
      </c>
      <c r="B179" t="s">
        <v>359</v>
      </c>
      <c r="C179" s="1">
        <v>0</v>
      </c>
      <c r="D179" s="1">
        <v>0</v>
      </c>
      <c r="E179" s="1">
        <v>0</v>
      </c>
    </row>
    <row r="180" spans="1:5">
      <c r="A180" t="s">
        <v>360</v>
      </c>
      <c r="B180" t="s">
        <v>361</v>
      </c>
      <c r="C180" s="1">
        <v>0</v>
      </c>
      <c r="D180" s="1">
        <v>0</v>
      </c>
      <c r="E180" s="1">
        <v>0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94"/>
  <sheetViews>
    <sheetView topLeftCell="A95" workbookViewId="0">
      <selection activeCell="C119" sqref="C119"/>
    </sheetView>
  </sheetViews>
  <sheetFormatPr baseColWidth="10" defaultColWidth="11.5546875" defaultRowHeight="13.2"/>
  <cols>
    <col min="1" max="1" width="9.109375" customWidth="1"/>
    <col min="2" max="2" width="49.44140625" customWidth="1"/>
    <col min="3" max="6" width="14" style="23" customWidth="1"/>
    <col min="7" max="7" width="13" style="23" customWidth="1"/>
    <col min="8" max="9" width="12.33203125" style="1" bestFit="1" customWidth="1"/>
    <col min="10" max="10" width="12.33203125" bestFit="1" customWidth="1"/>
    <col min="11" max="11" width="10.6640625" bestFit="1" customWidth="1"/>
    <col min="12" max="256" width="9.109375" customWidth="1"/>
  </cols>
  <sheetData>
    <row r="1" spans="1:9">
      <c r="A1" t="s">
        <v>0</v>
      </c>
      <c r="B1" t="s">
        <v>1</v>
      </c>
      <c r="C1" s="22" t="s">
        <v>378</v>
      </c>
      <c r="D1" s="22"/>
      <c r="E1" s="22"/>
      <c r="F1" s="22"/>
      <c r="G1" s="22" t="s">
        <v>422</v>
      </c>
    </row>
    <row r="2" spans="1:9">
      <c r="A2" t="s">
        <v>5</v>
      </c>
      <c r="B2" t="s">
        <v>6</v>
      </c>
      <c r="C2" s="23">
        <v>141569.58000000002</v>
      </c>
      <c r="D2" s="23">
        <f>C2</f>
        <v>141569.58000000002</v>
      </c>
      <c r="G2" s="23">
        <v>74036.25</v>
      </c>
      <c r="H2" s="1">
        <f>G2</f>
        <v>74036.25</v>
      </c>
    </row>
    <row r="3" spans="1:9">
      <c r="A3" t="s">
        <v>7</v>
      </c>
      <c r="B3" t="s">
        <v>8</v>
      </c>
      <c r="C3" s="23">
        <v>1287790</v>
      </c>
      <c r="G3" s="23">
        <v>1287790</v>
      </c>
    </row>
    <row r="4" spans="1:9">
      <c r="A4" t="s">
        <v>9</v>
      </c>
      <c r="B4" t="s">
        <v>10</v>
      </c>
      <c r="C4" s="23">
        <v>45000</v>
      </c>
      <c r="G4" s="23">
        <v>45000</v>
      </c>
    </row>
    <row r="5" spans="1:9">
      <c r="A5" t="s">
        <v>11</v>
      </c>
      <c r="B5" t="s">
        <v>12</v>
      </c>
      <c r="C5" s="23">
        <v>73081.8</v>
      </c>
      <c r="D5" s="23">
        <f>SUM(C3:C5)</f>
        <v>1405871.8</v>
      </c>
      <c r="G5" s="23">
        <v>99657</v>
      </c>
      <c r="H5" s="1">
        <f>SUM(G3:G5)</f>
        <v>1432447</v>
      </c>
    </row>
    <row r="6" spans="1:9">
      <c r="A6" t="s">
        <v>13</v>
      </c>
      <c r="B6" t="s">
        <v>14</v>
      </c>
      <c r="C6" s="33">
        <v>17335.830000000002</v>
      </c>
      <c r="G6" s="33">
        <v>34736.559999999998</v>
      </c>
    </row>
    <row r="7" spans="1:9">
      <c r="A7" t="s">
        <v>15</v>
      </c>
      <c r="B7" t="s">
        <v>16</v>
      </c>
      <c r="C7" s="33">
        <v>15000</v>
      </c>
      <c r="D7" s="33">
        <f>SUM(C6:C7)</f>
        <v>32335.83</v>
      </c>
      <c r="E7" s="23">
        <f>SUM(D2:D7)</f>
        <v>1579777.2100000002</v>
      </c>
      <c r="G7" s="33">
        <v>35000</v>
      </c>
      <c r="H7" s="31">
        <f>SUM(G6:G7)</f>
        <v>69736.56</v>
      </c>
      <c r="I7" s="1">
        <f>SUM(H2:H7)</f>
        <v>1576219.81</v>
      </c>
    </row>
    <row r="8" spans="1:9">
      <c r="A8" t="s">
        <v>17</v>
      </c>
      <c r="B8" t="s">
        <v>18</v>
      </c>
      <c r="C8" s="23">
        <v>67310.5</v>
      </c>
      <c r="D8" s="23">
        <f>C8</f>
        <v>67310.5</v>
      </c>
      <c r="G8" s="23">
        <v>67310.5</v>
      </c>
      <c r="H8" s="1">
        <f>G8</f>
        <v>67310.5</v>
      </c>
    </row>
    <row r="9" spans="1:9">
      <c r="A9" t="s">
        <v>19</v>
      </c>
      <c r="B9" t="s">
        <v>20</v>
      </c>
      <c r="C9" s="23">
        <v>0</v>
      </c>
      <c r="G9" s="30">
        <v>67602.2</v>
      </c>
    </row>
    <row r="10" spans="1:9">
      <c r="A10" t="s">
        <v>21</v>
      </c>
      <c r="B10" t="s">
        <v>22</v>
      </c>
      <c r="C10" s="32">
        <v>230160.54</v>
      </c>
      <c r="D10" s="32">
        <f>C10+C14</f>
        <v>30160.540000000008</v>
      </c>
      <c r="G10" s="32">
        <v>19050</v>
      </c>
      <c r="H10" s="27">
        <f>G10+G14</f>
        <v>16550</v>
      </c>
    </row>
    <row r="11" spans="1:9">
      <c r="A11" t="s">
        <v>23</v>
      </c>
      <c r="B11" t="s">
        <v>24</v>
      </c>
      <c r="C11" s="23">
        <v>0</v>
      </c>
      <c r="G11" s="23">
        <v>0</v>
      </c>
    </row>
    <row r="12" spans="1:9">
      <c r="A12" t="s">
        <v>25</v>
      </c>
      <c r="B12" t="s">
        <v>26</v>
      </c>
      <c r="C12" s="30">
        <v>195225.22</v>
      </c>
      <c r="D12" s="30">
        <f>C12+C15</f>
        <v>201225.22</v>
      </c>
      <c r="G12" s="30">
        <v>36822.65</v>
      </c>
    </row>
    <row r="13" spans="1:9">
      <c r="A13" t="s">
        <v>27</v>
      </c>
      <c r="B13" t="s">
        <v>28</v>
      </c>
      <c r="C13" s="23">
        <v>0</v>
      </c>
      <c r="G13" s="30">
        <v>186691</v>
      </c>
      <c r="H13" s="29">
        <f>G9+G12+G13</f>
        <v>291115.84999999998</v>
      </c>
    </row>
    <row r="14" spans="1:9">
      <c r="A14" t="s">
        <v>29</v>
      </c>
      <c r="B14" t="s">
        <v>30</v>
      </c>
      <c r="C14" s="32">
        <v>-200000</v>
      </c>
      <c r="G14" s="32">
        <v>-2500</v>
      </c>
    </row>
    <row r="15" spans="1:9">
      <c r="A15" t="s">
        <v>31</v>
      </c>
      <c r="B15" t="s">
        <v>32</v>
      </c>
      <c r="C15" s="30">
        <v>6000</v>
      </c>
      <c r="G15" s="23">
        <v>0</v>
      </c>
    </row>
    <row r="16" spans="1:9">
      <c r="A16" t="s">
        <v>33</v>
      </c>
      <c r="B16" t="s">
        <v>34</v>
      </c>
      <c r="C16" s="23">
        <v>287024.29000000004</v>
      </c>
      <c r="D16" s="23">
        <f>C16</f>
        <v>287024.29000000004</v>
      </c>
      <c r="G16" s="23">
        <v>287024.28999999998</v>
      </c>
      <c r="H16" s="1">
        <f>G16</f>
        <v>287024.28999999998</v>
      </c>
    </row>
    <row r="17" spans="1:10">
      <c r="A17" t="s">
        <v>35</v>
      </c>
      <c r="B17" t="s">
        <v>36</v>
      </c>
      <c r="C17" s="23">
        <v>9488</v>
      </c>
      <c r="G17" s="23">
        <v>14726</v>
      </c>
    </row>
    <row r="18" spans="1:10">
      <c r="A18" t="s">
        <v>37</v>
      </c>
      <c r="B18" t="s">
        <v>38</v>
      </c>
      <c r="C18" s="23">
        <v>286810.54000000004</v>
      </c>
      <c r="G18" s="23">
        <v>211216.92</v>
      </c>
    </row>
    <row r="19" spans="1:10">
      <c r="A19" t="s">
        <v>39</v>
      </c>
      <c r="B19" t="s">
        <v>40</v>
      </c>
      <c r="C19" s="23">
        <v>38093.26</v>
      </c>
      <c r="G19" s="23">
        <v>6086.72</v>
      </c>
    </row>
    <row r="20" spans="1:10">
      <c r="A20" t="s">
        <v>41</v>
      </c>
      <c r="B20" t="s">
        <v>42</v>
      </c>
      <c r="C20" s="23">
        <v>44158.920000000006</v>
      </c>
      <c r="G20" s="23">
        <v>43618.99</v>
      </c>
    </row>
    <row r="21" spans="1:10">
      <c r="A21" t="s">
        <v>43</v>
      </c>
      <c r="B21" t="s">
        <v>44</v>
      </c>
      <c r="C21" s="23">
        <v>3758.75</v>
      </c>
      <c r="G21" s="23">
        <v>3754.98</v>
      </c>
    </row>
    <row r="22" spans="1:10">
      <c r="A22" t="s">
        <v>45</v>
      </c>
      <c r="B22" t="s">
        <v>46</v>
      </c>
      <c r="C22" s="23">
        <v>110703.06000000001</v>
      </c>
      <c r="G22" s="23">
        <v>30917.25</v>
      </c>
    </row>
    <row r="23" spans="1:10">
      <c r="A23" t="s">
        <v>47</v>
      </c>
      <c r="B23" t="s">
        <v>48</v>
      </c>
      <c r="C23" s="23">
        <v>6238.47</v>
      </c>
      <c r="G23" s="23">
        <v>6232.24</v>
      </c>
    </row>
    <row r="24" spans="1:10">
      <c r="A24" t="s">
        <v>49</v>
      </c>
      <c r="B24" t="s">
        <v>50</v>
      </c>
      <c r="C24" s="23">
        <v>1344685.58</v>
      </c>
      <c r="G24" s="23">
        <v>1298041.75</v>
      </c>
    </row>
    <row r="25" spans="1:10">
      <c r="A25" t="s">
        <v>51</v>
      </c>
      <c r="B25" t="s">
        <v>52</v>
      </c>
      <c r="C25" s="23">
        <v>61491.79</v>
      </c>
      <c r="G25" s="23">
        <v>273673.73</v>
      </c>
    </row>
    <row r="26" spans="1:10">
      <c r="A26" t="s">
        <v>53</v>
      </c>
      <c r="B26" t="s">
        <v>54</v>
      </c>
      <c r="C26" s="23">
        <v>106659.66</v>
      </c>
      <c r="D26" s="23">
        <f>SUM(C17:C26)</f>
        <v>2012088.03</v>
      </c>
      <c r="E26" s="23">
        <f>SUM(D8:D26)</f>
        <v>2597808.58</v>
      </c>
      <c r="F26" s="23">
        <f>SUM(E7:E26)</f>
        <v>4177585.79</v>
      </c>
      <c r="G26" s="23">
        <v>105355.56</v>
      </c>
      <c r="H26" s="1">
        <f>SUM(G17:G26)</f>
        <v>1993624.1400000001</v>
      </c>
      <c r="I26" s="1">
        <f>SUM(H8:H26)</f>
        <v>2655624.7800000003</v>
      </c>
      <c r="J26" s="1">
        <f>SUM(I7:I26)</f>
        <v>4231844.59</v>
      </c>
    </row>
    <row r="27" spans="1:10">
      <c r="A27" t="s">
        <v>55</v>
      </c>
      <c r="B27" t="s">
        <v>56</v>
      </c>
      <c r="C27" s="23">
        <v>-12195.1</v>
      </c>
      <c r="G27" s="23">
        <v>-13126.56</v>
      </c>
    </row>
    <row r="28" spans="1:10">
      <c r="A28" t="s">
        <v>57</v>
      </c>
      <c r="B28" t="s">
        <v>58</v>
      </c>
      <c r="C28" s="23">
        <v>18900.36</v>
      </c>
      <c r="G28" s="23">
        <v>4661.8500000000004</v>
      </c>
    </row>
    <row r="29" spans="1:10">
      <c r="A29" t="s">
        <v>59</v>
      </c>
      <c r="B29" t="s">
        <v>60</v>
      </c>
      <c r="C29" s="23">
        <v>-7121.34</v>
      </c>
      <c r="G29" s="23">
        <v>552.78</v>
      </c>
    </row>
    <row r="30" spans="1:10">
      <c r="A30" t="s">
        <v>61</v>
      </c>
      <c r="B30" t="s">
        <v>62</v>
      </c>
      <c r="C30" s="23">
        <v>-22991.99</v>
      </c>
      <c r="G30" s="23">
        <v>-39144.99</v>
      </c>
    </row>
    <row r="31" spans="1:10">
      <c r="A31" t="s">
        <v>63</v>
      </c>
      <c r="B31" t="s">
        <v>64</v>
      </c>
      <c r="C31" s="23">
        <v>9720.8700000000008</v>
      </c>
      <c r="G31" s="23">
        <v>19978.91</v>
      </c>
    </row>
    <row r="32" spans="1:10">
      <c r="A32" t="s">
        <v>65</v>
      </c>
      <c r="B32" t="s">
        <v>66</v>
      </c>
      <c r="C32" s="23">
        <v>2973.72</v>
      </c>
      <c r="G32" s="23">
        <v>-8855.39</v>
      </c>
    </row>
    <row r="33" spans="1:7">
      <c r="A33" t="s">
        <v>67</v>
      </c>
      <c r="B33" t="s">
        <v>68</v>
      </c>
      <c r="C33" s="23">
        <v>-26184.1</v>
      </c>
      <c r="G33" s="23">
        <v>-26221.07</v>
      </c>
    </row>
    <row r="34" spans="1:7">
      <c r="A34" t="s">
        <v>69</v>
      </c>
      <c r="B34" t="s">
        <v>70</v>
      </c>
      <c r="C34" s="23">
        <v>43538.11</v>
      </c>
      <c r="G34" s="23">
        <v>587.71</v>
      </c>
    </row>
    <row r="35" spans="1:7">
      <c r="A35" t="s">
        <v>71</v>
      </c>
      <c r="B35" t="s">
        <v>72</v>
      </c>
      <c r="C35" s="23">
        <v>13188.8</v>
      </c>
      <c r="G35" s="23">
        <v>-27599.48</v>
      </c>
    </row>
    <row r="36" spans="1:7">
      <c r="A36" t="s">
        <v>73</v>
      </c>
      <c r="B36" t="s">
        <v>74</v>
      </c>
      <c r="C36" s="23">
        <v>53498.51</v>
      </c>
      <c r="G36" s="23">
        <v>5651</v>
      </c>
    </row>
    <row r="37" spans="1:7">
      <c r="A37" t="s">
        <v>75</v>
      </c>
      <c r="B37" t="s">
        <v>76</v>
      </c>
      <c r="C37" s="23">
        <v>-3808.9</v>
      </c>
      <c r="G37" s="23">
        <v>-9301.2199999999993</v>
      </c>
    </row>
    <row r="38" spans="1:7">
      <c r="A38" t="s">
        <v>77</v>
      </c>
      <c r="B38" t="s">
        <v>78</v>
      </c>
      <c r="C38" s="23">
        <v>44046.9</v>
      </c>
      <c r="G38" s="23">
        <v>6768.81</v>
      </c>
    </row>
    <row r="39" spans="1:7">
      <c r="A39" t="s">
        <v>79</v>
      </c>
      <c r="B39" t="s">
        <v>80</v>
      </c>
      <c r="C39" s="23">
        <v>52126.76</v>
      </c>
      <c r="G39" s="23">
        <v>25854.560000000001</v>
      </c>
    </row>
    <row r="40" spans="1:7">
      <c r="A40" t="s">
        <v>81</v>
      </c>
      <c r="B40" t="s">
        <v>82</v>
      </c>
      <c r="C40" s="23">
        <v>-9197.25</v>
      </c>
      <c r="G40" s="23">
        <v>-7653.55</v>
      </c>
    </row>
    <row r="41" spans="1:7">
      <c r="A41" t="s">
        <v>83</v>
      </c>
      <c r="B41" t="s">
        <v>84</v>
      </c>
      <c r="C41" s="23">
        <v>2751.55</v>
      </c>
      <c r="G41" s="23">
        <v>-49504.2</v>
      </c>
    </row>
    <row r="42" spans="1:7">
      <c r="A42" t="s">
        <v>85</v>
      </c>
      <c r="B42" t="s">
        <v>86</v>
      </c>
      <c r="C42" s="23">
        <v>3522.26</v>
      </c>
      <c r="G42" s="23">
        <v>-19652.810000000001</v>
      </c>
    </row>
    <row r="43" spans="1:7">
      <c r="A43" t="s">
        <v>87</v>
      </c>
      <c r="B43" t="s">
        <v>88</v>
      </c>
      <c r="C43" s="23">
        <v>46559.9</v>
      </c>
      <c r="G43" s="23">
        <v>-2572.96</v>
      </c>
    </row>
    <row r="44" spans="1:7">
      <c r="A44" t="s">
        <v>89</v>
      </c>
      <c r="B44" t="s">
        <v>90</v>
      </c>
      <c r="C44" s="23">
        <v>-5139.18</v>
      </c>
      <c r="G44" s="23">
        <v>-27456.93</v>
      </c>
    </row>
    <row r="45" spans="1:7">
      <c r="A45" t="s">
        <v>91</v>
      </c>
      <c r="B45" t="s">
        <v>92</v>
      </c>
      <c r="C45" s="23">
        <v>22345.68</v>
      </c>
      <c r="G45" s="23">
        <v>16901.66</v>
      </c>
    </row>
    <row r="46" spans="1:7">
      <c r="A46" t="s">
        <v>93</v>
      </c>
      <c r="B46" t="s">
        <v>94</v>
      </c>
      <c r="C46" s="23">
        <v>-21962.82</v>
      </c>
      <c r="G46" s="23">
        <v>-7761.59</v>
      </c>
    </row>
    <row r="47" spans="1:7">
      <c r="A47" t="s">
        <v>95</v>
      </c>
      <c r="B47" t="s">
        <v>96</v>
      </c>
      <c r="C47" s="23">
        <v>-83730.98</v>
      </c>
      <c r="G47" s="23">
        <v>-18241.490000000002</v>
      </c>
    </row>
    <row r="48" spans="1:7">
      <c r="A48" t="s">
        <v>97</v>
      </c>
      <c r="B48" t="s">
        <v>98</v>
      </c>
      <c r="C48" s="23">
        <v>-1021.61</v>
      </c>
      <c r="G48" s="23">
        <v>-1021.61</v>
      </c>
    </row>
    <row r="49" spans="1:11">
      <c r="A49" t="s">
        <v>99</v>
      </c>
      <c r="B49" t="s">
        <v>100</v>
      </c>
      <c r="C49" s="23">
        <v>-13919.65</v>
      </c>
      <c r="G49" s="23">
        <v>-12419.65</v>
      </c>
    </row>
    <row r="50" spans="1:11">
      <c r="A50" t="s">
        <v>101</v>
      </c>
      <c r="B50" t="s">
        <v>102</v>
      </c>
      <c r="C50" s="23">
        <v>3403.3900000000003</v>
      </c>
      <c r="G50" s="23">
        <v>0</v>
      </c>
    </row>
    <row r="51" spans="1:11">
      <c r="A51" t="s">
        <v>103</v>
      </c>
      <c r="B51" t="s">
        <v>104</v>
      </c>
      <c r="C51" s="23">
        <v>-22952.77</v>
      </c>
      <c r="G51" s="23">
        <v>-14844.79</v>
      </c>
    </row>
    <row r="52" spans="1:11">
      <c r="A52" t="s">
        <v>105</v>
      </c>
      <c r="B52" t="s">
        <v>106</v>
      </c>
      <c r="C52" s="23">
        <v>12921.82</v>
      </c>
      <c r="G52" s="23">
        <v>-11650.64</v>
      </c>
    </row>
    <row r="53" spans="1:11">
      <c r="A53" t="s">
        <v>107</v>
      </c>
      <c r="B53" t="s">
        <v>108</v>
      </c>
      <c r="C53" s="23">
        <v>-27492.36</v>
      </c>
      <c r="G53" s="23">
        <v>-7367.36</v>
      </c>
    </row>
    <row r="54" spans="1:11">
      <c r="A54" t="s">
        <v>109</v>
      </c>
      <c r="B54" t="s">
        <v>110</v>
      </c>
      <c r="C54" s="23">
        <v>-60420.29</v>
      </c>
      <c r="G54" s="23">
        <v>-62565.87</v>
      </c>
    </row>
    <row r="55" spans="1:11">
      <c r="A55" t="s">
        <v>111</v>
      </c>
      <c r="B55" t="s">
        <v>112</v>
      </c>
      <c r="C55" s="23">
        <v>-1891.11</v>
      </c>
      <c r="G55" s="23">
        <v>-1335.91</v>
      </c>
    </row>
    <row r="56" spans="1:11">
      <c r="A56" t="s">
        <v>113</v>
      </c>
      <c r="B56" t="s">
        <v>114</v>
      </c>
      <c r="C56" s="23">
        <v>-17641.11</v>
      </c>
      <c r="G56" s="23">
        <v>-14874.83</v>
      </c>
    </row>
    <row r="57" spans="1:11">
      <c r="A57" t="s">
        <v>115</v>
      </c>
      <c r="B57" t="s">
        <v>116</v>
      </c>
      <c r="C57" s="23">
        <v>-11132.17</v>
      </c>
      <c r="G57" s="23">
        <v>-17265.7</v>
      </c>
    </row>
    <row r="58" spans="1:11">
      <c r="A58" t="s">
        <v>117</v>
      </c>
      <c r="B58" t="s">
        <v>118</v>
      </c>
      <c r="C58" s="23">
        <v>-540</v>
      </c>
      <c r="G58" s="23">
        <v>0</v>
      </c>
    </row>
    <row r="59" spans="1:11">
      <c r="A59" t="s">
        <v>119</v>
      </c>
      <c r="B59" t="s">
        <v>120</v>
      </c>
      <c r="C59" s="23">
        <v>-173990.74</v>
      </c>
      <c r="G59" s="23">
        <v>-50468.53</v>
      </c>
      <c r="K59" s="1"/>
    </row>
    <row r="60" spans="1:11">
      <c r="A60" t="s">
        <v>121</v>
      </c>
      <c r="B60" t="s">
        <v>122</v>
      </c>
      <c r="C60" s="23">
        <v>-22756.240000000002</v>
      </c>
      <c r="D60" s="1"/>
      <c r="G60" s="23">
        <v>-3289.24</v>
      </c>
      <c r="I60" s="1" t="s">
        <v>374</v>
      </c>
      <c r="J60" s="1" t="s">
        <v>374</v>
      </c>
      <c r="K60" t="s">
        <v>374</v>
      </c>
    </row>
    <row r="61" spans="1:11">
      <c r="A61" t="s">
        <v>123</v>
      </c>
      <c r="B61" t="s">
        <v>124</v>
      </c>
      <c r="C61" s="23">
        <v>-541013.30000000005</v>
      </c>
      <c r="G61" s="23">
        <v>-505683.07</v>
      </c>
    </row>
    <row r="62" spans="1:11">
      <c r="A62" t="s">
        <v>125</v>
      </c>
      <c r="B62" t="s">
        <v>126</v>
      </c>
      <c r="C62" s="23">
        <v>-96296.55</v>
      </c>
      <c r="D62" s="23">
        <f>SUM(C61:C62)</f>
        <v>-637309.85000000009</v>
      </c>
      <c r="G62" s="23">
        <v>-224755.26</v>
      </c>
      <c r="H62" s="1">
        <f>SUM(G61:G62)</f>
        <v>-730438.33000000007</v>
      </c>
    </row>
    <row r="63" spans="1:11">
      <c r="A63" t="s">
        <v>127</v>
      </c>
      <c r="B63" t="s">
        <v>128</v>
      </c>
      <c r="C63" s="23">
        <v>79744.58</v>
      </c>
      <c r="G63" s="23">
        <v>48209.599999999999</v>
      </c>
    </row>
    <row r="64" spans="1:11">
      <c r="A64" t="s">
        <v>129</v>
      </c>
      <c r="B64" t="s">
        <v>130</v>
      </c>
      <c r="C64" s="23">
        <v>0</v>
      </c>
      <c r="G64" s="103">
        <v>0</v>
      </c>
    </row>
    <row r="65" spans="1:9">
      <c r="A65" t="s">
        <v>131</v>
      </c>
      <c r="B65" t="s">
        <v>132</v>
      </c>
      <c r="C65" s="23">
        <v>-355508.33</v>
      </c>
      <c r="G65" s="23">
        <v>-522084.11</v>
      </c>
    </row>
    <row r="66" spans="1:9">
      <c r="A66" t="s">
        <v>133</v>
      </c>
      <c r="B66" t="s">
        <v>134</v>
      </c>
      <c r="C66" s="23">
        <v>-547211.75</v>
      </c>
      <c r="G66" s="23">
        <v>-504926.97</v>
      </c>
    </row>
    <row r="67" spans="1:9">
      <c r="A67" t="s">
        <v>135</v>
      </c>
      <c r="B67" t="s">
        <v>136</v>
      </c>
      <c r="C67" s="23">
        <v>-276063.81</v>
      </c>
      <c r="D67" s="1">
        <f>SUM(C27:C67)-D62</f>
        <v>-1315630.3900000001</v>
      </c>
      <c r="E67" s="1">
        <f>SUM(D62:D67)</f>
        <v>-1952940.2400000002</v>
      </c>
      <c r="F67" s="1">
        <f>SUM(E62:E67)</f>
        <v>-1952940.2400000002</v>
      </c>
      <c r="G67" s="23">
        <v>-297689.42</v>
      </c>
      <c r="H67" s="1">
        <f>SUM(G27:G67)-H62</f>
        <v>-1649729.9899999998</v>
      </c>
      <c r="I67" s="1">
        <f>SUM(H62:H67)</f>
        <v>-2380168.3199999998</v>
      </c>
    </row>
    <row r="68" spans="1:9">
      <c r="A68" t="s">
        <v>137</v>
      </c>
      <c r="B68" t="s">
        <v>138</v>
      </c>
      <c r="C68" s="37">
        <v>-7800</v>
      </c>
      <c r="G68" s="37">
        <v>-7800</v>
      </c>
    </row>
    <row r="69" spans="1:9">
      <c r="A69" t="s">
        <v>139</v>
      </c>
      <c r="B69" t="s">
        <v>140</v>
      </c>
      <c r="C69" s="32">
        <v>-1000000</v>
      </c>
      <c r="G69" s="32">
        <v>-1000000</v>
      </c>
    </row>
    <row r="70" spans="1:9">
      <c r="A70" t="s">
        <v>141</v>
      </c>
      <c r="B70" t="s">
        <v>142</v>
      </c>
      <c r="C70" s="32">
        <v>-277790</v>
      </c>
      <c r="D70" s="27">
        <f>C69+C70+C74</f>
        <v>-1312790</v>
      </c>
      <c r="G70" s="32">
        <v>-277790</v>
      </c>
      <c r="H70" s="27">
        <f>G69+G70+G74</f>
        <v>-1312790</v>
      </c>
    </row>
    <row r="71" spans="1:9">
      <c r="A71" t="s">
        <v>143</v>
      </c>
      <c r="B71" t="s">
        <v>144</v>
      </c>
      <c r="C71" s="23">
        <v>-172704.91</v>
      </c>
      <c r="D71" s="23">
        <f>C71</f>
        <v>-172704.91</v>
      </c>
      <c r="E71" s="47" t="s">
        <v>374</v>
      </c>
      <c r="G71" s="23">
        <v>-183642.03</v>
      </c>
      <c r="H71" s="1">
        <f>G71</f>
        <v>-183642.03</v>
      </c>
    </row>
    <row r="72" spans="1:9">
      <c r="A72" t="s">
        <v>145</v>
      </c>
      <c r="B72" t="s">
        <v>146</v>
      </c>
      <c r="C72" s="37">
        <v>0</v>
      </c>
      <c r="G72" s="37">
        <v>-1900</v>
      </c>
    </row>
    <row r="73" spans="1:9">
      <c r="A73" t="s">
        <v>147</v>
      </c>
      <c r="B73" t="s">
        <v>148</v>
      </c>
      <c r="C73" s="30">
        <v>-10000</v>
      </c>
      <c r="G73" s="30">
        <v>-10000</v>
      </c>
    </row>
    <row r="74" spans="1:9">
      <c r="A74" t="s">
        <v>149</v>
      </c>
      <c r="B74" t="s">
        <v>150</v>
      </c>
      <c r="C74" s="32">
        <v>-35000</v>
      </c>
      <c r="G74" s="32">
        <v>-35000</v>
      </c>
    </row>
    <row r="75" spans="1:9">
      <c r="A75" t="s">
        <v>151</v>
      </c>
      <c r="B75" t="s">
        <v>152</v>
      </c>
      <c r="C75" s="30">
        <v>-10000</v>
      </c>
      <c r="D75" s="30">
        <f>C73+C75</f>
        <v>-20000</v>
      </c>
      <c r="G75" s="30">
        <v>-10000</v>
      </c>
      <c r="H75" s="29">
        <f>G73+G75</f>
        <v>-20000</v>
      </c>
    </row>
    <row r="76" spans="1:9">
      <c r="A76" t="s">
        <v>153</v>
      </c>
      <c r="B76" t="s">
        <v>154</v>
      </c>
      <c r="C76" s="23">
        <v>0</v>
      </c>
      <c r="G76" s="23">
        <v>0</v>
      </c>
    </row>
    <row r="77" spans="1:9">
      <c r="A77" t="s">
        <v>155</v>
      </c>
      <c r="B77" t="s">
        <v>156</v>
      </c>
      <c r="C77" s="33">
        <v>-6256.87</v>
      </c>
      <c r="G77" s="33">
        <v>-38602.870000000003</v>
      </c>
    </row>
    <row r="78" spans="1:9">
      <c r="A78" t="s">
        <v>157</v>
      </c>
      <c r="B78" t="s">
        <v>158</v>
      </c>
      <c r="C78" s="37">
        <v>-48.39</v>
      </c>
      <c r="G78" s="23">
        <v>0</v>
      </c>
    </row>
    <row r="79" spans="1:9">
      <c r="A79" t="s">
        <v>159</v>
      </c>
      <c r="B79" t="s">
        <v>160</v>
      </c>
      <c r="C79" s="33">
        <v>-5791</v>
      </c>
      <c r="D79" s="33">
        <f>C77+C79</f>
        <v>-12047.869999999999</v>
      </c>
      <c r="G79" s="33">
        <v>-17281.59</v>
      </c>
    </row>
    <row r="80" spans="1:9">
      <c r="A80" t="s">
        <v>161</v>
      </c>
      <c r="B80" t="s">
        <v>162</v>
      </c>
      <c r="C80" s="37">
        <v>-6734.76</v>
      </c>
      <c r="G80" s="33">
        <v>-8493.39</v>
      </c>
      <c r="H80" s="31">
        <f>G77+G79+G80</f>
        <v>-64377.850000000006</v>
      </c>
    </row>
    <row r="81" spans="1:10">
      <c r="A81" t="s">
        <v>163</v>
      </c>
      <c r="B81" t="s">
        <v>164</v>
      </c>
      <c r="C81" s="37">
        <v>0</v>
      </c>
      <c r="G81" s="37">
        <v>-16000</v>
      </c>
    </row>
    <row r="82" spans="1:10">
      <c r="A82" t="s">
        <v>165</v>
      </c>
      <c r="B82" t="s">
        <v>166</v>
      </c>
      <c r="C82" s="37">
        <v>0</v>
      </c>
      <c r="G82" s="37">
        <v>-25679</v>
      </c>
    </row>
    <row r="83" spans="1:10">
      <c r="A83" t="s">
        <v>167</v>
      </c>
      <c r="B83" t="s">
        <v>168</v>
      </c>
      <c r="C83" s="37">
        <v>-47763.97</v>
      </c>
      <c r="G83" s="37">
        <v>-60236.7</v>
      </c>
    </row>
    <row r="84" spans="1:10">
      <c r="A84" t="s">
        <v>169</v>
      </c>
      <c r="B84" t="s">
        <v>170</v>
      </c>
      <c r="C84" s="37">
        <v>0</v>
      </c>
      <c r="G84" s="37">
        <v>-1686</v>
      </c>
    </row>
    <row r="85" spans="1:10">
      <c r="A85" t="s">
        <v>171</v>
      </c>
      <c r="B85" t="s">
        <v>172</v>
      </c>
      <c r="C85" s="37">
        <v>0</v>
      </c>
      <c r="G85" s="37">
        <v>-157564.69</v>
      </c>
      <c r="H85" s="38">
        <f>G68+G72+G81+G82+G83+G84+G85</f>
        <v>-270866.39</v>
      </c>
      <c r="I85" s="1">
        <f>SUM(H68:H85)</f>
        <v>-1851676.27</v>
      </c>
      <c r="J85" s="1">
        <f>SUM(I67:I85)</f>
        <v>-4231844.59</v>
      </c>
    </row>
    <row r="86" spans="1:10">
      <c r="A86" t="s">
        <v>173</v>
      </c>
      <c r="B86" t="s">
        <v>174</v>
      </c>
      <c r="C86" s="37">
        <v>-644755.65</v>
      </c>
      <c r="D86" s="37">
        <f>C68+C72+C78+C80+C83+C86</f>
        <v>-707102.77</v>
      </c>
      <c r="E86" s="1">
        <f>SUM(D68:D86)</f>
        <v>-2224645.5499999998</v>
      </c>
      <c r="F86" s="1">
        <f>SUM(E67:E86)</f>
        <v>-4177585.79</v>
      </c>
      <c r="G86" s="23">
        <v>0</v>
      </c>
    </row>
    <row r="87" spans="1:10">
      <c r="A87" s="24">
        <v>3020</v>
      </c>
      <c r="B87" t="s">
        <v>434</v>
      </c>
      <c r="C87" s="36">
        <v>0</v>
      </c>
      <c r="G87" s="36">
        <v>-10637.22</v>
      </c>
    </row>
    <row r="88" spans="1:10">
      <c r="A88" t="s">
        <v>175</v>
      </c>
      <c r="B88" t="s">
        <v>176</v>
      </c>
      <c r="C88" s="36">
        <v>-482786.25</v>
      </c>
      <c r="G88" s="36">
        <v>-172073.28</v>
      </c>
    </row>
    <row r="89" spans="1:10">
      <c r="A89" t="s">
        <v>177</v>
      </c>
      <c r="B89" t="s">
        <v>178</v>
      </c>
      <c r="C89" s="36">
        <v>-16000</v>
      </c>
      <c r="G89" s="36">
        <v>-16000</v>
      </c>
    </row>
    <row r="90" spans="1:10">
      <c r="A90" t="s">
        <v>179</v>
      </c>
      <c r="B90" t="s">
        <v>180</v>
      </c>
      <c r="C90" s="36">
        <v>181691</v>
      </c>
      <c r="G90" s="36">
        <v>0</v>
      </c>
    </row>
    <row r="91" spans="1:10">
      <c r="A91" t="s">
        <v>181</v>
      </c>
      <c r="B91" t="s">
        <v>182</v>
      </c>
      <c r="C91" s="35">
        <v>-643200</v>
      </c>
      <c r="D91" s="35">
        <f>C91</f>
        <v>-643200</v>
      </c>
      <c r="G91" s="35">
        <v>-1360400</v>
      </c>
      <c r="H91" s="28">
        <f>G91</f>
        <v>-1360400</v>
      </c>
    </row>
    <row r="92" spans="1:10">
      <c r="A92" t="s">
        <v>183</v>
      </c>
      <c r="B92" t="s">
        <v>184</v>
      </c>
      <c r="C92" s="36">
        <v>-50434</v>
      </c>
      <c r="G92" s="36">
        <v>0</v>
      </c>
    </row>
    <row r="93" spans="1:10">
      <c r="A93" t="s">
        <v>185</v>
      </c>
      <c r="B93" t="s">
        <v>186</v>
      </c>
      <c r="C93" s="36">
        <v>-142358</v>
      </c>
      <c r="G93" s="36">
        <v>-75819</v>
      </c>
    </row>
    <row r="94" spans="1:10">
      <c r="A94" t="s">
        <v>187</v>
      </c>
      <c r="B94" t="s">
        <v>188</v>
      </c>
      <c r="C94" s="36">
        <v>-98401</v>
      </c>
      <c r="G94" s="36">
        <v>0</v>
      </c>
    </row>
    <row r="95" spans="1:10">
      <c r="A95" t="s">
        <v>189</v>
      </c>
      <c r="B95" t="s">
        <v>190</v>
      </c>
      <c r="C95" s="36">
        <v>0</v>
      </c>
      <c r="G95" s="36">
        <v>0</v>
      </c>
    </row>
    <row r="96" spans="1:10">
      <c r="A96" t="s">
        <v>191</v>
      </c>
      <c r="B96" t="s">
        <v>192</v>
      </c>
      <c r="C96" s="36">
        <v>0</v>
      </c>
      <c r="G96" s="36">
        <v>0</v>
      </c>
    </row>
    <row r="97" spans="1:11">
      <c r="A97" t="s">
        <v>193</v>
      </c>
      <c r="B97" t="s">
        <v>194</v>
      </c>
      <c r="C97" s="36">
        <v>-31097.43</v>
      </c>
      <c r="G97" s="36">
        <v>0</v>
      </c>
    </row>
    <row r="98" spans="1:11">
      <c r="A98" t="s">
        <v>195</v>
      </c>
      <c r="B98" t="s">
        <v>196</v>
      </c>
      <c r="C98" s="39">
        <v>-180317.75</v>
      </c>
      <c r="G98" s="39">
        <v>-281327</v>
      </c>
    </row>
    <row r="99" spans="1:11">
      <c r="A99" t="s">
        <v>197</v>
      </c>
      <c r="B99" t="s">
        <v>198</v>
      </c>
      <c r="C99" s="39">
        <v>-2720</v>
      </c>
      <c r="D99" s="39">
        <f>SUM(C98:C99)</f>
        <v>-183037.75</v>
      </c>
      <c r="G99" s="39">
        <v>-5607.05</v>
      </c>
      <c r="H99" s="26">
        <f>SUM(G98:G99)</f>
        <v>-286934.05</v>
      </c>
    </row>
    <row r="100" spans="1:11">
      <c r="A100" t="s">
        <v>199</v>
      </c>
      <c r="B100" t="s">
        <v>200</v>
      </c>
      <c r="C100" s="36">
        <v>-18479.63</v>
      </c>
      <c r="G100" s="36">
        <v>0</v>
      </c>
    </row>
    <row r="101" spans="1:11">
      <c r="A101" t="s">
        <v>201</v>
      </c>
      <c r="B101" t="s">
        <v>202</v>
      </c>
      <c r="C101" s="40">
        <v>-122055</v>
      </c>
      <c r="G101" s="40">
        <v>-126150</v>
      </c>
    </row>
    <row r="102" spans="1:11">
      <c r="A102" t="s">
        <v>203</v>
      </c>
      <c r="B102" t="s">
        <v>204</v>
      </c>
      <c r="C102" s="40">
        <v>-141030</v>
      </c>
      <c r="G102" s="40">
        <v>-147110</v>
      </c>
    </row>
    <row r="103" spans="1:11">
      <c r="A103" t="s">
        <v>205</v>
      </c>
      <c r="B103" t="s">
        <v>206</v>
      </c>
      <c r="C103" s="40">
        <v>-536491.61</v>
      </c>
      <c r="G103" s="40">
        <v>-624760</v>
      </c>
    </row>
    <row r="104" spans="1:11">
      <c r="A104" t="s">
        <v>207</v>
      </c>
      <c r="B104" t="s">
        <v>208</v>
      </c>
      <c r="C104" s="40">
        <v>-639092.04</v>
      </c>
      <c r="D104" s="40">
        <f>SUM(C101:C104)</f>
        <v>-1438668.65</v>
      </c>
      <c r="G104" s="40">
        <v>-627540</v>
      </c>
      <c r="H104" s="41">
        <f>SUM(G101:G104)</f>
        <v>-1525560</v>
      </c>
    </row>
    <row r="105" spans="1:11">
      <c r="A105" t="s">
        <v>209</v>
      </c>
      <c r="B105" t="s">
        <v>210</v>
      </c>
      <c r="C105" s="36">
        <v>-50</v>
      </c>
      <c r="G105" s="36">
        <v>-500</v>
      </c>
    </row>
    <row r="106" spans="1:11">
      <c r="A106" t="s">
        <v>211</v>
      </c>
      <c r="B106" t="s">
        <v>212</v>
      </c>
      <c r="C106" s="36">
        <v>-62925</v>
      </c>
      <c r="G106" s="36">
        <v>-238361</v>
      </c>
    </row>
    <row r="107" spans="1:11">
      <c r="A107" t="s">
        <v>213</v>
      </c>
      <c r="B107" t="s">
        <v>214</v>
      </c>
      <c r="C107" s="36">
        <v>-388480.99</v>
      </c>
      <c r="E107" s="42" t="s">
        <v>374</v>
      </c>
      <c r="G107" s="36">
        <v>-520497.43</v>
      </c>
    </row>
    <row r="108" spans="1:11">
      <c r="A108" t="s">
        <v>215</v>
      </c>
      <c r="B108" t="s">
        <v>216</v>
      </c>
      <c r="C108" s="36">
        <v>-455464.5</v>
      </c>
      <c r="G108" s="36">
        <v>-386632.02</v>
      </c>
      <c r="J108" t="s">
        <v>374</v>
      </c>
      <c r="K108" s="1" t="s">
        <v>374</v>
      </c>
    </row>
    <row r="109" spans="1:11">
      <c r="A109" t="s">
        <v>217</v>
      </c>
      <c r="B109" t="s">
        <v>218</v>
      </c>
      <c r="C109" s="36">
        <v>-133553.25</v>
      </c>
      <c r="G109" s="36">
        <v>-363424.5</v>
      </c>
    </row>
    <row r="110" spans="1:11">
      <c r="A110" t="s">
        <v>219</v>
      </c>
      <c r="B110" t="s">
        <v>220</v>
      </c>
      <c r="C110" s="36">
        <v>-338633.59</v>
      </c>
      <c r="D110" s="25">
        <f>C87+C88+C89+C90+C92+C93+C94+C95+C96+C97+C100+C105+C106+C107+C108+C109+C110+C189</f>
        <v>-2036972.6400000001</v>
      </c>
      <c r="E110" s="1">
        <f>SUM(D91:D110)</f>
        <v>-4301879.04</v>
      </c>
      <c r="G110" s="36">
        <v>-410396.74</v>
      </c>
      <c r="H110" s="25">
        <f>G87+G88+G89+G90+G92+G93+G94+G95+G96+G97+G100+G105+G106+G107+G108+G109+G110+G189</f>
        <v>-2203356.19</v>
      </c>
      <c r="I110" s="1">
        <f>SUM(H91:H110)</f>
        <v>-5376250.2400000002</v>
      </c>
    </row>
    <row r="111" spans="1:11">
      <c r="A111" s="24">
        <v>4090</v>
      </c>
      <c r="B111" t="s">
        <v>435</v>
      </c>
      <c r="C111" s="35">
        <v>0</v>
      </c>
      <c r="G111" s="35">
        <v>-10345</v>
      </c>
      <c r="I111" s="1" t="s">
        <v>374</v>
      </c>
      <c r="J111" s="1" t="s">
        <v>374</v>
      </c>
    </row>
    <row r="112" spans="1:11">
      <c r="A112" s="24">
        <v>4110</v>
      </c>
      <c r="B112" t="s">
        <v>443</v>
      </c>
      <c r="C112" s="35">
        <v>0</v>
      </c>
      <c r="G112" s="35">
        <v>56124</v>
      </c>
      <c r="J112" s="1"/>
    </row>
    <row r="113" spans="1:8">
      <c r="A113" t="s">
        <v>221</v>
      </c>
      <c r="B113" t="s">
        <v>444</v>
      </c>
      <c r="C113" s="35">
        <v>3043</v>
      </c>
      <c r="G113" s="35">
        <v>0</v>
      </c>
    </row>
    <row r="114" spans="1:8">
      <c r="A114" t="s">
        <v>223</v>
      </c>
      <c r="B114" t="s">
        <v>224</v>
      </c>
      <c r="C114" s="35">
        <v>191804.32</v>
      </c>
      <c r="D114" s="35">
        <f>SUM(C111:C114)</f>
        <v>194847.32</v>
      </c>
      <c r="G114" s="35">
        <v>174105.7</v>
      </c>
      <c r="H114" s="28">
        <f>SUM(G111:G114)</f>
        <v>219884.7</v>
      </c>
    </row>
    <row r="115" spans="1:8">
      <c r="A115" t="s">
        <v>225</v>
      </c>
      <c r="B115" t="s">
        <v>226</v>
      </c>
      <c r="C115" s="34">
        <v>516014.7</v>
      </c>
      <c r="G115" s="34">
        <v>547057.44999999995</v>
      </c>
    </row>
    <row r="116" spans="1:8">
      <c r="A116" t="s">
        <v>227</v>
      </c>
      <c r="B116" t="s">
        <v>228</v>
      </c>
      <c r="C116" s="34">
        <v>43914</v>
      </c>
      <c r="G116" s="34">
        <v>199648.67</v>
      </c>
    </row>
    <row r="117" spans="1:8">
      <c r="A117" t="s">
        <v>229</v>
      </c>
      <c r="B117" t="s">
        <v>230</v>
      </c>
      <c r="C117" s="34">
        <v>60251.37</v>
      </c>
      <c r="G117" s="34">
        <v>60236.72</v>
      </c>
    </row>
    <row r="118" spans="1:8">
      <c r="A118" t="s">
        <v>231</v>
      </c>
      <c r="B118" t="s">
        <v>232</v>
      </c>
      <c r="C118" s="34">
        <v>73559.900000000009</v>
      </c>
      <c r="G118" s="34">
        <v>78734.86</v>
      </c>
    </row>
    <row r="119" spans="1:8">
      <c r="A119" t="s">
        <v>233</v>
      </c>
      <c r="B119" t="s">
        <v>162</v>
      </c>
      <c r="C119" s="34">
        <v>8495.4700000000012</v>
      </c>
      <c r="G119" s="34">
        <v>8493.41</v>
      </c>
    </row>
    <row r="120" spans="1:8">
      <c r="A120" t="s">
        <v>234</v>
      </c>
      <c r="B120" t="s">
        <v>235</v>
      </c>
      <c r="C120" s="34">
        <v>5723</v>
      </c>
      <c r="G120" s="34">
        <v>0</v>
      </c>
    </row>
    <row r="121" spans="1:8">
      <c r="A121" t="s">
        <v>236</v>
      </c>
      <c r="B121" t="s">
        <v>237</v>
      </c>
      <c r="C121" s="34">
        <v>8350</v>
      </c>
      <c r="G121" s="34">
        <v>42000</v>
      </c>
    </row>
    <row r="122" spans="1:8">
      <c r="A122" t="s">
        <v>238</v>
      </c>
      <c r="B122" t="s">
        <v>239</v>
      </c>
      <c r="C122" s="34">
        <v>748</v>
      </c>
      <c r="G122" s="34">
        <v>1372.02</v>
      </c>
    </row>
    <row r="123" spans="1:8">
      <c r="A123" t="s">
        <v>240</v>
      </c>
      <c r="B123" t="s">
        <v>241</v>
      </c>
      <c r="C123" s="34">
        <v>1018</v>
      </c>
      <c r="G123" s="34">
        <v>0</v>
      </c>
    </row>
    <row r="124" spans="1:8">
      <c r="A124" t="s">
        <v>242</v>
      </c>
      <c r="B124" t="s">
        <v>243</v>
      </c>
      <c r="C124" s="34">
        <v>5723</v>
      </c>
      <c r="G124" s="34">
        <v>11117</v>
      </c>
    </row>
    <row r="125" spans="1:8">
      <c r="A125" t="s">
        <v>244</v>
      </c>
      <c r="B125" t="s">
        <v>245</v>
      </c>
      <c r="C125" s="34">
        <v>37899</v>
      </c>
      <c r="G125" s="34">
        <v>68718</v>
      </c>
    </row>
    <row r="126" spans="1:8">
      <c r="A126" s="24">
        <v>5992</v>
      </c>
      <c r="B126" t="s">
        <v>436</v>
      </c>
      <c r="C126" s="34">
        <v>0</v>
      </c>
      <c r="D126" s="45">
        <f>SUM(C115:C126)</f>
        <v>761696.44</v>
      </c>
      <c r="G126" s="34">
        <v>9000</v>
      </c>
      <c r="H126" s="45">
        <f>SUM(G115:G126)</f>
        <v>1026378.13</v>
      </c>
    </row>
    <row r="127" spans="1:8">
      <c r="A127" t="s">
        <v>246</v>
      </c>
      <c r="B127" t="s">
        <v>247</v>
      </c>
      <c r="C127" s="37">
        <v>78192.600000000006</v>
      </c>
      <c r="G127" s="37">
        <v>80948.45</v>
      </c>
    </row>
    <row r="128" spans="1:8">
      <c r="A128" t="s">
        <v>248</v>
      </c>
      <c r="B128" t="s">
        <v>249</v>
      </c>
      <c r="C128" s="37">
        <v>52065.850000000006</v>
      </c>
      <c r="G128" s="37">
        <v>35542.71</v>
      </c>
    </row>
    <row r="129" spans="1:7">
      <c r="A129" t="s">
        <v>250</v>
      </c>
      <c r="B129" t="s">
        <v>251</v>
      </c>
      <c r="C129" s="37">
        <v>33140.25</v>
      </c>
      <c r="G129" s="37">
        <v>27748</v>
      </c>
    </row>
    <row r="130" spans="1:7">
      <c r="A130" t="s">
        <v>252</v>
      </c>
      <c r="B130" t="s">
        <v>253</v>
      </c>
      <c r="C130" s="37">
        <v>41653.43</v>
      </c>
      <c r="G130" s="37">
        <v>19818.400000000001</v>
      </c>
    </row>
    <row r="131" spans="1:7">
      <c r="A131" t="s">
        <v>254</v>
      </c>
      <c r="B131" t="s">
        <v>255</v>
      </c>
      <c r="C131" s="37">
        <v>179.20000000000002</v>
      </c>
      <c r="G131" s="37">
        <v>405.4</v>
      </c>
    </row>
    <row r="132" spans="1:7">
      <c r="A132" t="s">
        <v>256</v>
      </c>
      <c r="B132" t="s">
        <v>257</v>
      </c>
      <c r="C132" s="37">
        <v>812.5</v>
      </c>
      <c r="G132" s="37">
        <v>0</v>
      </c>
    </row>
    <row r="133" spans="1:7">
      <c r="A133" t="s">
        <v>258</v>
      </c>
      <c r="B133" t="s">
        <v>259</v>
      </c>
      <c r="C133" s="37">
        <v>13124.650000000001</v>
      </c>
      <c r="G133" s="37">
        <v>41232.21</v>
      </c>
    </row>
    <row r="134" spans="1:7">
      <c r="A134" t="s">
        <v>260</v>
      </c>
      <c r="B134" t="s">
        <v>261</v>
      </c>
      <c r="C134" s="37">
        <v>11655</v>
      </c>
      <c r="G134" s="37">
        <v>0</v>
      </c>
    </row>
    <row r="135" spans="1:7">
      <c r="A135" t="s">
        <v>262</v>
      </c>
      <c r="B135" t="s">
        <v>263</v>
      </c>
      <c r="C135" s="37">
        <v>23955</v>
      </c>
      <c r="G135" s="37">
        <v>3455</v>
      </c>
    </row>
    <row r="136" spans="1:7">
      <c r="A136" t="s">
        <v>264</v>
      </c>
      <c r="B136" t="s">
        <v>265</v>
      </c>
      <c r="C136" s="37">
        <v>40316.47</v>
      </c>
      <c r="G136" s="37">
        <v>62548.9</v>
      </c>
    </row>
    <row r="137" spans="1:7">
      <c r="A137" s="24">
        <v>6540</v>
      </c>
      <c r="B137" t="s">
        <v>437</v>
      </c>
      <c r="C137" s="37">
        <v>0</v>
      </c>
      <c r="E137" s="42" t="s">
        <v>374</v>
      </c>
      <c r="G137" s="37">
        <v>30140.89</v>
      </c>
    </row>
    <row r="138" spans="1:7">
      <c r="A138" t="s">
        <v>266</v>
      </c>
      <c r="B138" t="s">
        <v>267</v>
      </c>
      <c r="C138" s="37">
        <v>242122.53</v>
      </c>
      <c r="G138" s="37">
        <v>256720.86</v>
      </c>
    </row>
    <row r="139" spans="1:7">
      <c r="A139" t="s">
        <v>268</v>
      </c>
      <c r="B139" t="s">
        <v>269</v>
      </c>
      <c r="C139" s="37">
        <v>301</v>
      </c>
      <c r="G139" s="37">
        <v>0</v>
      </c>
    </row>
    <row r="140" spans="1:7">
      <c r="A140" t="s">
        <v>270</v>
      </c>
      <c r="B140" t="s">
        <v>501</v>
      </c>
      <c r="C140" s="37">
        <v>17420.25</v>
      </c>
      <c r="G140" s="37">
        <v>48858</v>
      </c>
    </row>
    <row r="141" spans="1:7">
      <c r="A141" t="s">
        <v>272</v>
      </c>
      <c r="B141" t="s">
        <v>273</v>
      </c>
      <c r="C141" s="37">
        <v>73809.77</v>
      </c>
      <c r="G141" s="37">
        <v>25702.51</v>
      </c>
    </row>
    <row r="142" spans="1:7">
      <c r="A142" t="s">
        <v>274</v>
      </c>
      <c r="B142" t="s">
        <v>275</v>
      </c>
      <c r="C142" s="37">
        <v>41415.22</v>
      </c>
      <c r="G142" s="37">
        <v>77855.64</v>
      </c>
    </row>
    <row r="143" spans="1:7">
      <c r="A143" t="s">
        <v>276</v>
      </c>
      <c r="B143" t="s">
        <v>277</v>
      </c>
      <c r="C143" s="37">
        <v>46275</v>
      </c>
      <c r="G143" s="37">
        <v>34245.32</v>
      </c>
    </row>
    <row r="144" spans="1:7">
      <c r="A144" t="s">
        <v>278</v>
      </c>
      <c r="B144" t="s">
        <v>279</v>
      </c>
      <c r="C144" s="37">
        <v>6000</v>
      </c>
      <c r="G144" s="37">
        <v>13200</v>
      </c>
    </row>
    <row r="145" spans="1:7">
      <c r="A145" t="s">
        <v>280</v>
      </c>
      <c r="B145" t="s">
        <v>281</v>
      </c>
      <c r="C145" s="37">
        <v>157639.69</v>
      </c>
      <c r="G145" s="37">
        <v>202661.09</v>
      </c>
    </row>
    <row r="146" spans="1:7">
      <c r="A146" t="s">
        <v>282</v>
      </c>
      <c r="B146" t="s">
        <v>283</v>
      </c>
      <c r="C146" s="37">
        <v>221275.56</v>
      </c>
      <c r="G146" s="37">
        <v>279209.5</v>
      </c>
    </row>
    <row r="147" spans="1:7">
      <c r="A147" s="24">
        <v>6781</v>
      </c>
      <c r="B147" t="s">
        <v>438</v>
      </c>
      <c r="C147" s="37">
        <v>0</v>
      </c>
      <c r="G147" s="37">
        <v>280334.5</v>
      </c>
    </row>
    <row r="148" spans="1:7">
      <c r="A148" s="24">
        <v>6782</v>
      </c>
      <c r="B148" t="s">
        <v>439</v>
      </c>
      <c r="C148" s="37">
        <v>0</v>
      </c>
      <c r="G148" s="37">
        <v>-279209.5</v>
      </c>
    </row>
    <row r="149" spans="1:7">
      <c r="A149" t="s">
        <v>284</v>
      </c>
      <c r="B149" t="s">
        <v>285</v>
      </c>
      <c r="C149" s="37">
        <v>37290.810000000005</v>
      </c>
      <c r="G149" s="37">
        <v>22672.39</v>
      </c>
    </row>
    <row r="150" spans="1:7">
      <c r="A150" t="s">
        <v>286</v>
      </c>
      <c r="B150" t="s">
        <v>287</v>
      </c>
      <c r="C150" s="37">
        <v>3398.3</v>
      </c>
      <c r="G150" s="37">
        <v>15924.89</v>
      </c>
    </row>
    <row r="151" spans="1:7">
      <c r="A151" t="s">
        <v>288</v>
      </c>
      <c r="B151" t="s">
        <v>289</v>
      </c>
      <c r="C151" s="37">
        <v>950</v>
      </c>
      <c r="G151" s="37">
        <v>188</v>
      </c>
    </row>
    <row r="152" spans="1:7">
      <c r="A152" t="s">
        <v>290</v>
      </c>
      <c r="B152" t="s">
        <v>291</v>
      </c>
      <c r="C152" s="37">
        <v>35280.050000000003</v>
      </c>
      <c r="G152" s="37">
        <v>80021.5</v>
      </c>
    </row>
    <row r="153" spans="1:7">
      <c r="A153" t="s">
        <v>292</v>
      </c>
      <c r="B153" t="s">
        <v>293</v>
      </c>
      <c r="C153" s="37">
        <v>698</v>
      </c>
      <c r="G153" s="37">
        <v>1074</v>
      </c>
    </row>
    <row r="154" spans="1:7">
      <c r="A154" t="s">
        <v>294</v>
      </c>
      <c r="B154" t="s">
        <v>295</v>
      </c>
      <c r="C154" s="37">
        <v>42989</v>
      </c>
      <c r="G154" s="37">
        <v>68350</v>
      </c>
    </row>
    <row r="155" spans="1:7">
      <c r="A155" t="s">
        <v>296</v>
      </c>
      <c r="B155" t="s">
        <v>297</v>
      </c>
      <c r="C155" s="37">
        <v>489.05</v>
      </c>
      <c r="G155" s="37">
        <v>343.91</v>
      </c>
    </row>
    <row r="156" spans="1:7">
      <c r="A156" t="s">
        <v>298</v>
      </c>
      <c r="B156" t="s">
        <v>299</v>
      </c>
      <c r="C156" s="37">
        <v>683.9</v>
      </c>
      <c r="G156" s="37">
        <v>6659.47</v>
      </c>
    </row>
    <row r="157" spans="1:7">
      <c r="A157" t="s">
        <v>300</v>
      </c>
      <c r="B157" t="s">
        <v>301</v>
      </c>
      <c r="C157" s="37">
        <v>5481.0700000000006</v>
      </c>
      <c r="G157" s="37">
        <v>5476.24</v>
      </c>
    </row>
    <row r="158" spans="1:7">
      <c r="A158" t="s">
        <v>302</v>
      </c>
      <c r="B158" t="s">
        <v>303</v>
      </c>
      <c r="C158" s="37">
        <v>2967.86</v>
      </c>
      <c r="G158" s="37">
        <v>0</v>
      </c>
    </row>
    <row r="159" spans="1:7">
      <c r="A159" t="s">
        <v>304</v>
      </c>
      <c r="B159" t="s">
        <v>305</v>
      </c>
      <c r="C159" s="37">
        <v>17384.45</v>
      </c>
      <c r="G159" s="37">
        <v>82783.25</v>
      </c>
    </row>
    <row r="160" spans="1:7">
      <c r="A160" t="s">
        <v>306</v>
      </c>
      <c r="B160" t="s">
        <v>307</v>
      </c>
      <c r="C160" s="37">
        <v>-0.14000000000000001</v>
      </c>
      <c r="G160" s="37">
        <v>-2.54</v>
      </c>
    </row>
    <row r="161" spans="1:7">
      <c r="A161" t="s">
        <v>308</v>
      </c>
      <c r="B161" t="s">
        <v>309</v>
      </c>
      <c r="C161" s="37">
        <v>2107</v>
      </c>
      <c r="G161" s="37">
        <v>2695.2</v>
      </c>
    </row>
    <row r="162" spans="1:7">
      <c r="A162" t="s">
        <v>310</v>
      </c>
      <c r="B162" t="s">
        <v>311</v>
      </c>
      <c r="C162" s="37">
        <v>268945.74</v>
      </c>
      <c r="G162" s="37">
        <v>269566.84999999998</v>
      </c>
    </row>
    <row r="163" spans="1:7">
      <c r="A163" t="s">
        <v>312</v>
      </c>
      <c r="B163" t="s">
        <v>313</v>
      </c>
      <c r="C163" s="37">
        <v>244714.08000000002</v>
      </c>
      <c r="G163" s="37">
        <v>396270.54</v>
      </c>
    </row>
    <row r="164" spans="1:7">
      <c r="A164" t="s">
        <v>314</v>
      </c>
      <c r="B164" t="s">
        <v>315</v>
      </c>
      <c r="C164" s="37">
        <v>264637.7</v>
      </c>
      <c r="G164" s="37">
        <v>408397.42</v>
      </c>
    </row>
    <row r="165" spans="1:7">
      <c r="A165" t="s">
        <v>316</v>
      </c>
      <c r="B165" t="s">
        <v>317</v>
      </c>
      <c r="C165" s="37">
        <v>2758</v>
      </c>
      <c r="G165" s="37">
        <v>45590</v>
      </c>
    </row>
    <row r="166" spans="1:7">
      <c r="A166" t="s">
        <v>318</v>
      </c>
      <c r="B166" t="s">
        <v>319</v>
      </c>
      <c r="C166" s="37">
        <v>7932.34</v>
      </c>
      <c r="G166" s="37">
        <v>57222.2</v>
      </c>
    </row>
    <row r="167" spans="1:7">
      <c r="A167" t="s">
        <v>320</v>
      </c>
      <c r="B167" t="s">
        <v>321</v>
      </c>
      <c r="C167" s="37">
        <v>44649.8</v>
      </c>
      <c r="G167" s="37">
        <v>21428.25</v>
      </c>
    </row>
    <row r="168" spans="1:7">
      <c r="A168" t="s">
        <v>322</v>
      </c>
      <c r="B168" t="s">
        <v>323</v>
      </c>
      <c r="C168" s="37">
        <v>514926.39</v>
      </c>
      <c r="G168" s="37">
        <v>554475</v>
      </c>
    </row>
    <row r="169" spans="1:7">
      <c r="A169" t="s">
        <v>324</v>
      </c>
      <c r="B169" t="s">
        <v>325</v>
      </c>
      <c r="C169" s="37">
        <v>22113.23</v>
      </c>
      <c r="G169" s="37">
        <v>30223.4</v>
      </c>
    </row>
    <row r="170" spans="1:7">
      <c r="A170" t="s">
        <v>326</v>
      </c>
      <c r="B170" t="s">
        <v>327</v>
      </c>
      <c r="C170" s="37">
        <v>-2000</v>
      </c>
      <c r="G170" s="37">
        <v>0</v>
      </c>
    </row>
    <row r="171" spans="1:7">
      <c r="A171" t="s">
        <v>328</v>
      </c>
      <c r="B171" t="s">
        <v>329</v>
      </c>
      <c r="C171" s="37">
        <v>0</v>
      </c>
      <c r="G171" s="37">
        <v>2400</v>
      </c>
    </row>
    <row r="172" spans="1:7">
      <c r="A172" t="s">
        <v>330</v>
      </c>
      <c r="B172" t="s">
        <v>331</v>
      </c>
      <c r="C172" s="37">
        <v>120783.20000000001</v>
      </c>
      <c r="G172" s="37">
        <v>72632.5</v>
      </c>
    </row>
    <row r="173" spans="1:7">
      <c r="A173" t="s">
        <v>332</v>
      </c>
      <c r="B173" t="s">
        <v>333</v>
      </c>
      <c r="C173" s="37">
        <v>71920</v>
      </c>
      <c r="G173" s="37">
        <v>64505</v>
      </c>
    </row>
    <row r="174" spans="1:7">
      <c r="A174" t="s">
        <v>334</v>
      </c>
      <c r="B174" t="s">
        <v>335</v>
      </c>
      <c r="C174" s="37">
        <v>203210</v>
      </c>
      <c r="G174" s="37">
        <v>279560.5</v>
      </c>
    </row>
    <row r="175" spans="1:7">
      <c r="A175" t="s">
        <v>336</v>
      </c>
      <c r="B175" t="s">
        <v>337</v>
      </c>
      <c r="C175" s="37">
        <v>13567.12</v>
      </c>
      <c r="G175" s="37">
        <v>7428.98</v>
      </c>
    </row>
    <row r="176" spans="1:7">
      <c r="A176" t="s">
        <v>338</v>
      </c>
      <c r="B176" t="s">
        <v>339</v>
      </c>
      <c r="C176" s="37">
        <v>-63930.880000000005</v>
      </c>
      <c r="G176" s="37">
        <v>49044.76</v>
      </c>
    </row>
    <row r="177" spans="1:10">
      <c r="A177" t="s">
        <v>340</v>
      </c>
      <c r="B177" t="s">
        <v>341</v>
      </c>
      <c r="C177" s="37">
        <v>644755.65</v>
      </c>
      <c r="G177" s="37">
        <v>0</v>
      </c>
    </row>
    <row r="178" spans="1:10">
      <c r="A178" t="s">
        <v>342</v>
      </c>
      <c r="B178" t="s">
        <v>343</v>
      </c>
      <c r="C178" s="37">
        <v>15791.16</v>
      </c>
      <c r="G178" s="37">
        <v>0</v>
      </c>
    </row>
    <row r="179" spans="1:10">
      <c r="A179" t="s">
        <v>344</v>
      </c>
      <c r="B179" t="s">
        <v>345</v>
      </c>
      <c r="C179" s="37">
        <v>197500</v>
      </c>
      <c r="D179" s="37">
        <f>SUM(C127:C179)</f>
        <v>3823346.850000001</v>
      </c>
      <c r="G179" s="37">
        <v>1019</v>
      </c>
      <c r="H179" s="38">
        <f>SUM(G127:G179)+G190</f>
        <v>3796203.5899999994</v>
      </c>
      <c r="J179" s="1"/>
    </row>
    <row r="180" spans="1:10">
      <c r="A180" t="s">
        <v>346</v>
      </c>
      <c r="B180" t="s">
        <v>347</v>
      </c>
      <c r="C180" s="35">
        <v>-52557.280000000006</v>
      </c>
      <c r="G180" s="35">
        <v>-22416.799999999999</v>
      </c>
    </row>
    <row r="181" spans="1:10">
      <c r="A181" t="s">
        <v>348</v>
      </c>
      <c r="B181" t="s">
        <v>349</v>
      </c>
      <c r="C181" s="35">
        <v>0</v>
      </c>
      <c r="D181" s="35">
        <f>SUM(C180:C181)</f>
        <v>-52557.280000000006</v>
      </c>
      <c r="G181" s="35">
        <f>-44.6-35330.23</f>
        <v>-35374.83</v>
      </c>
      <c r="H181" s="28">
        <f>SUM(G180:G181)</f>
        <v>-57791.630000000005</v>
      </c>
    </row>
    <row r="182" spans="1:10">
      <c r="A182" t="s">
        <v>350</v>
      </c>
      <c r="B182" t="s">
        <v>351</v>
      </c>
      <c r="C182" s="43">
        <v>126</v>
      </c>
      <c r="E182" s="47" t="s">
        <v>374</v>
      </c>
      <c r="G182" s="23">
        <v>0</v>
      </c>
    </row>
    <row r="183" spans="1:10">
      <c r="A183" t="s">
        <v>352</v>
      </c>
      <c r="B183" t="s">
        <v>353</v>
      </c>
      <c r="C183" s="43">
        <v>941.11</v>
      </c>
      <c r="G183" s="43">
        <v>597.33000000000004</v>
      </c>
    </row>
    <row r="184" spans="1:10">
      <c r="A184" t="s">
        <v>354</v>
      </c>
      <c r="B184" t="s">
        <v>355</v>
      </c>
      <c r="C184" s="43">
        <v>706.68000000000006</v>
      </c>
      <c r="G184" s="43">
        <v>4762.71</v>
      </c>
      <c r="H184" s="1" t="s">
        <v>374</v>
      </c>
    </row>
    <row r="185" spans="1:10">
      <c r="A185" s="24">
        <v>8180</v>
      </c>
      <c r="B185" t="s">
        <v>441</v>
      </c>
      <c r="C185" s="43">
        <v>0</v>
      </c>
      <c r="D185" s="43">
        <f>SUM(C182:C185)</f>
        <v>1773.7900000000002</v>
      </c>
      <c r="G185" s="43">
        <v>8.24</v>
      </c>
      <c r="H185" s="44">
        <f>SUM(G183:G185)</f>
        <v>5368.28</v>
      </c>
    </row>
    <row r="186" spans="1:10">
      <c r="A186" t="s">
        <v>356</v>
      </c>
      <c r="B186" t="s">
        <v>357</v>
      </c>
      <c r="C186" s="23">
        <v>-427228.08</v>
      </c>
      <c r="D186" s="46">
        <f>SUM(D87:D185)</f>
        <v>427228.08000000071</v>
      </c>
      <c r="G186" s="23">
        <v>386207.17</v>
      </c>
      <c r="H186" s="48">
        <f>SUM(H87:H185)</f>
        <v>-386207.17000000074</v>
      </c>
    </row>
    <row r="187" spans="1:10">
      <c r="A187" t="s">
        <v>358</v>
      </c>
      <c r="B187" t="s">
        <v>359</v>
      </c>
      <c r="C187" s="23">
        <v>0</v>
      </c>
      <c r="G187" s="23">
        <v>0</v>
      </c>
    </row>
    <row r="188" spans="1:10">
      <c r="A188" t="s">
        <v>360</v>
      </c>
      <c r="B188" t="s">
        <v>361</v>
      </c>
      <c r="C188" s="23">
        <v>0</v>
      </c>
      <c r="G188" s="23">
        <v>0</v>
      </c>
    </row>
    <row r="189" spans="1:10">
      <c r="A189" s="24">
        <v>9090</v>
      </c>
      <c r="B189" t="s">
        <v>440</v>
      </c>
      <c r="C189" s="23">
        <v>0</v>
      </c>
      <c r="G189" s="36">
        <v>-9015</v>
      </c>
    </row>
    <row r="190" spans="1:10">
      <c r="A190" s="24">
        <v>9190</v>
      </c>
      <c r="B190" t="s">
        <v>442</v>
      </c>
      <c r="C190" s="23">
        <v>0</v>
      </c>
      <c r="G190" s="37">
        <v>8835</v>
      </c>
    </row>
    <row r="191" spans="1:10">
      <c r="C191" s="42">
        <f>SUM(C2:C190)</f>
        <v>-7.5669959187507629E-10</v>
      </c>
      <c r="G191" s="23">
        <f>SUM(G2:G190)</f>
        <v>2.9103830456733704E-10</v>
      </c>
    </row>
    <row r="194" spans="10:10">
      <c r="J194" t="s">
        <v>374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4945-0A79-4CC9-AAE6-A514E67E0D92}">
  <sheetPr>
    <pageSetUpPr fitToPage="1"/>
  </sheetPr>
  <dimension ref="A1:R250"/>
  <sheetViews>
    <sheetView topLeftCell="A217" workbookViewId="0">
      <selection activeCell="B160" sqref="B160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78" customWidth="1"/>
    <col min="4" max="4" width="15.88671875" style="78" customWidth="1"/>
    <col min="5" max="5" width="15.109375" style="78" customWidth="1"/>
    <col min="6" max="6" width="13.5546875" style="78" bestFit="1" customWidth="1"/>
    <col min="7" max="7" width="15" style="51" bestFit="1" customWidth="1"/>
    <col min="8" max="8" width="11.6640625" style="51" bestFit="1" customWidth="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294"/>
      <c r="I1" s="51"/>
    </row>
    <row r="2" spans="1:9" ht="15.6">
      <c r="A2" s="49" t="s">
        <v>974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>
      <c r="A33" s="157"/>
      <c r="B33" s="312"/>
      <c r="C33" s="156"/>
      <c r="D33" s="156"/>
      <c r="E33" s="162"/>
      <c r="F33" s="156"/>
      <c r="G33" s="65"/>
      <c r="I33" s="51"/>
    </row>
    <row r="34" spans="1:11" ht="14.4">
      <c r="A34" s="157"/>
      <c r="B34" s="313" t="s">
        <v>461</v>
      </c>
      <c r="C34" s="315" t="s">
        <v>975</v>
      </c>
      <c r="D34" s="315" t="s">
        <v>942</v>
      </c>
      <c r="E34" s="156"/>
      <c r="F34" s="156"/>
      <c r="G34" s="65"/>
      <c r="I34" s="51"/>
    </row>
    <row r="35" spans="1:11" ht="14.4">
      <c r="A35" s="157"/>
      <c r="B35" s="64" t="s">
        <v>463</v>
      </c>
      <c r="C35" s="316">
        <f>'Saldobalanse 2021'!C161+'Saldobalanse 2021'!C162+'Saldobalanse 2021'!C163+'Saldobalanse 2021'!C164+'Saldobalanse 2021'!C165+'Saldobalanse 2021'!C166+'Saldobalanse 2021'!C167+'Saldobalanse 2021'!C168+'Saldobalanse 2021'!C169+'Saldobalanse 2021'!C170+'Saldobalanse 2021'!C171+'Saldobalanse 2021'!C172+'Saldobalanse 2021'!C173+'Saldobalanse 2021'!C174</f>
        <v>756319.53</v>
      </c>
      <c r="D35" s="317">
        <f>'Saldobalanse 2021'!F161+'Saldobalanse 2021'!F162+'Saldobalanse 2021'!F163+'Saldobalanse 2021'!F164+'Saldobalanse 2021'!F165+'Saldobalanse 2021'!F166+'Saldobalanse 2021'!F167+'Saldobalanse 2021'!F168+'Saldobalanse 2021'!F169+'Saldobalanse 2021'!F170+'Saldobalanse 2021'!F171+'Saldobalanse 2021'!F172+'Saldobalanse 2021'!F173+'Saldobalanse 2021'!F174</f>
        <v>812917.91</v>
      </c>
      <c r="E35" s="156"/>
      <c r="F35" s="156"/>
      <c r="G35" s="345"/>
      <c r="I35" s="51"/>
    </row>
    <row r="36" spans="1:11">
      <c r="A36" s="157"/>
      <c r="B36" s="64" t="s">
        <v>232</v>
      </c>
      <c r="C36" s="317">
        <f>'Saldobalanse 2021'!C175+'Saldobalanse 2021'!C176</f>
        <v>89264.549999999988</v>
      </c>
      <c r="D36" s="317">
        <f>'Saldobalanse 2021'!F175+'Saldobalanse 2021'!F176</f>
        <v>105840.65</v>
      </c>
      <c r="E36" s="156"/>
      <c r="F36" s="156"/>
      <c r="G36" s="65"/>
      <c r="I36" s="51"/>
    </row>
    <row r="37" spans="1:11">
      <c r="A37" s="157"/>
      <c r="B37" s="64" t="s">
        <v>464</v>
      </c>
      <c r="C37" s="317">
        <f>'Saldobalanse 2021'!C183</f>
        <v>8314.7000000000007</v>
      </c>
      <c r="D37" s="317">
        <f>'Saldobalanse 2021'!F183</f>
        <v>6148.34</v>
      </c>
      <c r="E37" s="156"/>
      <c r="F37" s="156"/>
      <c r="G37" s="65"/>
      <c r="I37" s="51"/>
    </row>
    <row r="38" spans="1:11">
      <c r="A38" s="157"/>
      <c r="B38" s="64" t="s">
        <v>465</v>
      </c>
      <c r="C38" s="318">
        <f>'Saldobalanse 2021'!C177+'Saldobalanse 2021'!C178+'Saldobalanse 2021'!C179+'Saldobalanse 2021'!C180+'Saldobalanse 2021'!C182+'Saldobalanse 2021'!C184+'Saldobalanse 2021'!C181</f>
        <v>3173</v>
      </c>
      <c r="D38" s="318">
        <f>'Saldobalanse 2021'!F177+'Saldobalanse 2021'!F178+'Saldobalanse 2021'!F179+'Saldobalanse 2021'!F180+'Saldobalanse 2021'!F182+'Saldobalanse 2021'!F184+'Saldobalanse 2021'!F181</f>
        <v>5421.2</v>
      </c>
      <c r="E38" s="156"/>
      <c r="F38" s="156"/>
      <c r="G38" s="65"/>
      <c r="I38" s="51"/>
    </row>
    <row r="39" spans="1:11">
      <c r="A39" s="157"/>
      <c r="B39" s="64" t="s">
        <v>466</v>
      </c>
      <c r="C39" s="317">
        <f>SUM(C35:C38)</f>
        <v>857071.78</v>
      </c>
      <c r="D39" s="317">
        <f>SUM(D35:D38)</f>
        <v>930328.1</v>
      </c>
      <c r="E39" s="156"/>
      <c r="F39" s="156"/>
      <c r="G39" s="65"/>
      <c r="H39" s="147"/>
      <c r="I39" s="147"/>
      <c r="J39" s="147"/>
      <c r="K39" s="147"/>
    </row>
    <row r="40" spans="1:11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>
      <c r="A41" s="157"/>
      <c r="B41" s="138" t="s">
        <v>976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988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977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989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 s="355" customFormat="1">
      <c r="A45" s="352"/>
      <c r="B45" s="353" t="s">
        <v>911</v>
      </c>
      <c r="C45" s="354"/>
      <c r="D45" s="354"/>
      <c r="E45" s="354"/>
      <c r="F45" s="354"/>
      <c r="G45" s="352"/>
      <c r="I45" s="356"/>
      <c r="J45" s="357"/>
      <c r="K45" s="35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>
      <c r="A52" s="157"/>
      <c r="B52" s="312"/>
      <c r="C52" s="297"/>
      <c r="D52" s="297"/>
      <c r="E52" s="297"/>
      <c r="F52" s="162"/>
      <c r="G52" s="72"/>
      <c r="I52" s="51"/>
    </row>
    <row r="53" spans="1:10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990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 s="65" customFormat="1">
      <c r="A66" s="72"/>
      <c r="B66" s="138" t="s">
        <v>966</v>
      </c>
      <c r="C66" s="298"/>
      <c r="D66" s="358">
        <v>1729999</v>
      </c>
      <c r="E66" s="162"/>
      <c r="F66" s="162"/>
      <c r="G66" s="72"/>
      <c r="J66" s="146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990</v>
      </c>
      <c r="C69" s="162"/>
      <c r="D69" s="298">
        <v>10432086.34</v>
      </c>
      <c r="E69" s="156"/>
      <c r="F69" s="162"/>
      <c r="G69" s="72"/>
      <c r="I69" s="51"/>
    </row>
    <row r="70" spans="1:10">
      <c r="A70" s="72"/>
      <c r="B70" s="138" t="s">
        <v>962</v>
      </c>
      <c r="C70" s="162"/>
      <c r="D70" s="162"/>
      <c r="E70" s="298"/>
      <c r="F70" s="162"/>
      <c r="G70" s="72"/>
      <c r="I70" s="51"/>
    </row>
    <row r="71" spans="1:10">
      <c r="A71" s="72"/>
      <c r="B71" s="138" t="s">
        <v>963</v>
      </c>
      <c r="C71" s="162"/>
      <c r="D71" s="162"/>
      <c r="E71" s="298"/>
      <c r="F71" s="162"/>
      <c r="G71" s="72"/>
      <c r="I71" s="51"/>
    </row>
    <row r="72" spans="1:10">
      <c r="A72" s="72"/>
      <c r="B72" s="64" t="s">
        <v>540</v>
      </c>
      <c r="C72" s="298"/>
      <c r="D72" s="162"/>
      <c r="E72" s="162"/>
      <c r="F72" s="162"/>
      <c r="G72" s="72"/>
      <c r="I72" s="51"/>
    </row>
    <row r="73" spans="1:10" s="65" customFormat="1">
      <c r="A73" s="72"/>
      <c r="B73" s="138" t="s">
        <v>965</v>
      </c>
      <c r="C73" s="298"/>
      <c r="D73" s="162"/>
      <c r="E73" s="162"/>
      <c r="F73" s="162"/>
      <c r="G73" s="72"/>
    </row>
    <row r="74" spans="1:10">
      <c r="A74" s="72"/>
      <c r="B74" s="64"/>
      <c r="C74" s="298"/>
      <c r="D74" s="162"/>
      <c r="E74" s="162"/>
      <c r="F74" s="162"/>
      <c r="G74" s="72"/>
      <c r="I74" s="51"/>
    </row>
    <row r="75" spans="1:10" hidden="1">
      <c r="A75" s="72"/>
      <c r="B75" s="313" t="s">
        <v>513</v>
      </c>
      <c r="C75" s="298"/>
      <c r="D75" s="162"/>
      <c r="E75" s="162"/>
      <c r="F75" s="162"/>
      <c r="G75" s="72"/>
      <c r="I75" s="51"/>
    </row>
    <row r="76" spans="1:10" hidden="1">
      <c r="A76" s="72"/>
      <c r="B76" s="64" t="s">
        <v>514</v>
      </c>
      <c r="C76" s="162"/>
      <c r="D76" s="298">
        <v>132876</v>
      </c>
      <c r="E76" s="156"/>
      <c r="F76" s="162"/>
      <c r="G76" s="72"/>
      <c r="I76" s="51"/>
    </row>
    <row r="77" spans="1:10" hidden="1">
      <c r="A77" s="72"/>
      <c r="B77" s="64" t="s">
        <v>472</v>
      </c>
      <c r="C77" s="162"/>
      <c r="D77" s="301">
        <v>-132876</v>
      </c>
      <c r="E77" s="156"/>
      <c r="F77" s="162"/>
      <c r="G77" s="72"/>
      <c r="I77" s="51"/>
    </row>
    <row r="78" spans="1:10" hidden="1">
      <c r="A78" s="72"/>
      <c r="B78" s="64" t="s">
        <v>505</v>
      </c>
      <c r="C78" s="162"/>
      <c r="D78" s="302">
        <v>0</v>
      </c>
      <c r="E78" s="156"/>
      <c r="F78" s="162"/>
      <c r="G78" s="72"/>
      <c r="I78" s="51" t="s">
        <v>374</v>
      </c>
    </row>
    <row r="79" spans="1:10" hidden="1">
      <c r="A79" s="72"/>
      <c r="B79" s="138" t="s">
        <v>947</v>
      </c>
      <c r="C79" s="162"/>
      <c r="D79" s="298">
        <f>SUM(D76:D78)</f>
        <v>0</v>
      </c>
      <c r="E79" s="156"/>
      <c r="F79" s="162"/>
      <c r="G79" s="72"/>
      <c r="I79" s="51"/>
    </row>
    <row r="80" spans="1:10" hidden="1">
      <c r="A80" s="72"/>
      <c r="B80" s="72" t="s">
        <v>515</v>
      </c>
      <c r="C80" s="298"/>
      <c r="D80" s="162"/>
      <c r="E80" s="156"/>
      <c r="F80" s="162"/>
      <c r="G80" s="72"/>
      <c r="I80" s="51"/>
    </row>
    <row r="81" spans="1:9" hidden="1">
      <c r="A81" s="72"/>
      <c r="B81" s="72"/>
      <c r="C81" s="298"/>
      <c r="D81" s="162"/>
      <c r="E81" s="156"/>
      <c r="F81" s="162"/>
      <c r="G81" s="72"/>
      <c r="I81" s="51"/>
    </row>
    <row r="82" spans="1:9">
      <c r="A82" s="72"/>
      <c r="B82" s="72"/>
      <c r="C82" s="298"/>
      <c r="D82" s="162"/>
      <c r="E82" s="156"/>
      <c r="F82" s="162"/>
      <c r="G82" s="72"/>
      <c r="I82" s="51"/>
    </row>
    <row r="83" spans="1:9">
      <c r="A83" s="163" t="s">
        <v>474</v>
      </c>
      <c r="B83" s="163" t="s">
        <v>523</v>
      </c>
      <c r="C83" s="298"/>
      <c r="D83" s="162"/>
      <c r="E83" s="156"/>
      <c r="F83" s="162"/>
      <c r="G83" s="72"/>
      <c r="I83" s="51"/>
    </row>
    <row r="84" spans="1:9">
      <c r="A84" s="72"/>
      <c r="B84" s="64"/>
      <c r="C84" s="298"/>
      <c r="D84" s="162"/>
      <c r="E84" s="156"/>
      <c r="F84" s="162"/>
      <c r="G84" s="72"/>
      <c r="I84" s="51"/>
    </row>
    <row r="85" spans="1:9">
      <c r="A85" s="72"/>
      <c r="B85" s="312" t="s">
        <v>913</v>
      </c>
      <c r="C85" s="298"/>
      <c r="D85" s="162"/>
      <c r="E85" s="156"/>
      <c r="F85" s="162"/>
      <c r="G85" s="72"/>
      <c r="I85" s="51"/>
    </row>
    <row r="86" spans="1:9">
      <c r="A86" s="72"/>
      <c r="B86" s="138" t="s">
        <v>914</v>
      </c>
      <c r="C86" s="298"/>
      <c r="D86" s="162">
        <v>328125.40999999997</v>
      </c>
      <c r="E86" s="156"/>
      <c r="F86" s="162"/>
      <c r="G86" s="72"/>
      <c r="I86" s="51"/>
    </row>
    <row r="87" spans="1:9">
      <c r="A87" s="72"/>
      <c r="B87" s="138" t="s">
        <v>472</v>
      </c>
      <c r="C87" s="298"/>
      <c r="D87" s="162">
        <f>-43750.48-65625.08</f>
        <v>-109375.56</v>
      </c>
      <c r="E87" s="156"/>
      <c r="F87" s="162"/>
      <c r="G87" s="72"/>
      <c r="I87" s="51"/>
    </row>
    <row r="88" spans="1:9">
      <c r="A88" s="72"/>
      <c r="B88" s="64" t="s">
        <v>505</v>
      </c>
      <c r="C88" s="298"/>
      <c r="D88" s="321">
        <v>-65625.08</v>
      </c>
      <c r="E88" s="156"/>
      <c r="F88" s="162"/>
      <c r="G88" s="72"/>
      <c r="I88" s="51"/>
    </row>
    <row r="89" spans="1:9">
      <c r="A89" s="72"/>
      <c r="B89" s="138" t="s">
        <v>990</v>
      </c>
      <c r="C89" s="298"/>
      <c r="D89" s="162">
        <f>SUM(D86:D88)</f>
        <v>153124.76999999996</v>
      </c>
      <c r="E89" s="156"/>
      <c r="F89" s="162"/>
      <c r="G89" s="72"/>
      <c r="I89" s="51"/>
    </row>
    <row r="90" spans="1:9">
      <c r="A90" s="72"/>
      <c r="B90" s="138" t="s">
        <v>515</v>
      </c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>
      <c r="A92" s="72"/>
      <c r="B92" s="312" t="s">
        <v>948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949</v>
      </c>
      <c r="C93" s="298"/>
      <c r="D93" s="162">
        <f>49497.1+21199+257900+31821</f>
        <v>360417.1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f>-72083.42</f>
        <v>-72083.42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v>-54083.42</v>
      </c>
      <c r="E95" s="156"/>
      <c r="F95" s="162"/>
      <c r="G95" s="72"/>
      <c r="I95" s="51"/>
    </row>
    <row r="96" spans="1:9">
      <c r="A96" s="72"/>
      <c r="B96" s="138" t="s">
        <v>990</v>
      </c>
      <c r="C96" s="298"/>
      <c r="D96" s="162">
        <f>SUM(D93:D95)</f>
        <v>234250.26</v>
      </c>
      <c r="E96" s="156"/>
      <c r="F96" s="162"/>
      <c r="G96" s="72"/>
      <c r="I96" s="51"/>
    </row>
    <row r="97" spans="1:9">
      <c r="A97" s="72"/>
      <c r="B97" s="138" t="s">
        <v>950</v>
      </c>
      <c r="C97" s="298"/>
      <c r="D97" s="162"/>
      <c r="E97" s="156"/>
      <c r="F97" s="162"/>
      <c r="G97" s="72"/>
      <c r="I97" s="51"/>
    </row>
    <row r="98" spans="1:9">
      <c r="A98" s="72"/>
      <c r="B98" s="64"/>
      <c r="C98" s="298"/>
      <c r="D98" s="162"/>
      <c r="E98" s="156"/>
      <c r="F98" s="162"/>
      <c r="G98" s="72"/>
      <c r="I98" s="51"/>
    </row>
    <row r="99" spans="1:9">
      <c r="A99" s="72"/>
      <c r="B99" s="312" t="s">
        <v>716</v>
      </c>
      <c r="C99" s="298"/>
      <c r="D99" s="162"/>
      <c r="E99" s="156"/>
      <c r="F99" s="162"/>
      <c r="G99" s="72"/>
      <c r="I99" s="51"/>
    </row>
    <row r="100" spans="1:9">
      <c r="A100" s="72"/>
      <c r="B100" s="138" t="s">
        <v>719</v>
      </c>
      <c r="C100" s="298"/>
      <c r="D100" s="162">
        <v>21894</v>
      </c>
      <c r="E100" s="156"/>
      <c r="F100" s="162"/>
      <c r="G100" s="72"/>
      <c r="I100" s="51"/>
    </row>
    <row r="101" spans="1:9">
      <c r="A101" s="72"/>
      <c r="B101" s="138" t="s">
        <v>801</v>
      </c>
      <c r="C101" s="298"/>
      <c r="D101" s="162">
        <f>-12809-5088-3997</f>
        <v>-21894</v>
      </c>
      <c r="E101" s="156"/>
      <c r="F101" s="162"/>
      <c r="G101" s="72"/>
      <c r="I101" s="51"/>
    </row>
    <row r="102" spans="1:9">
      <c r="A102" s="72"/>
      <c r="B102" s="138" t="s">
        <v>721</v>
      </c>
      <c r="C102" s="298"/>
      <c r="D102" s="321">
        <v>0</v>
      </c>
      <c r="E102" s="156"/>
      <c r="F102" s="162"/>
      <c r="G102" s="72"/>
      <c r="I102" s="51"/>
    </row>
    <row r="103" spans="1:9">
      <c r="A103" s="72"/>
      <c r="B103" s="138" t="s">
        <v>990</v>
      </c>
      <c r="C103" s="298"/>
      <c r="D103" s="162">
        <f>SUM(D100:D102)</f>
        <v>0</v>
      </c>
      <c r="E103" s="156"/>
      <c r="F103" s="162"/>
      <c r="G103" s="72"/>
      <c r="I103" s="51"/>
    </row>
    <row r="104" spans="1:9">
      <c r="A104" s="72"/>
      <c r="B104" s="138" t="s">
        <v>717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>
      <c r="A106" s="72"/>
      <c r="B106" s="312" t="s">
        <v>718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720</v>
      </c>
      <c r="C107" s="298"/>
      <c r="D107" s="299">
        <v>75000</v>
      </c>
      <c r="E107" s="162"/>
      <c r="F107" s="162"/>
      <c r="G107" s="72"/>
      <c r="I107" s="51"/>
    </row>
    <row r="108" spans="1:9">
      <c r="A108" s="72"/>
      <c r="B108" s="138" t="s">
        <v>800</v>
      </c>
      <c r="C108" s="298"/>
      <c r="D108" s="299">
        <f>-47500-15000-12500</f>
        <v>-75000</v>
      </c>
      <c r="E108" s="162"/>
      <c r="F108" s="162"/>
      <c r="G108" s="72"/>
      <c r="I108" s="51"/>
    </row>
    <row r="109" spans="1:9">
      <c r="A109" s="72"/>
      <c r="B109" s="138" t="s">
        <v>721</v>
      </c>
      <c r="C109" s="298"/>
      <c r="D109" s="300">
        <v>0</v>
      </c>
      <c r="E109" s="162"/>
      <c r="F109" s="162"/>
      <c r="G109" s="72"/>
      <c r="I109" s="51"/>
    </row>
    <row r="110" spans="1:9">
      <c r="A110" s="72"/>
      <c r="B110" s="138" t="str">
        <f>B103</f>
        <v>Bokført verdi 31.12.2021</v>
      </c>
      <c r="C110" s="298"/>
      <c r="D110" s="299">
        <f>SUM(D107:D109)</f>
        <v>0</v>
      </c>
      <c r="E110" s="299"/>
      <c r="F110" s="162"/>
      <c r="G110" s="72"/>
      <c r="I110" s="51"/>
    </row>
    <row r="111" spans="1:9">
      <c r="A111" s="72"/>
      <c r="B111" s="138" t="s">
        <v>722</v>
      </c>
      <c r="C111" s="298"/>
      <c r="D111" s="162"/>
      <c r="E111" s="162"/>
      <c r="F111" s="162"/>
      <c r="G111" s="72"/>
      <c r="I111" s="51"/>
    </row>
    <row r="112" spans="1:9">
      <c r="A112" s="72"/>
      <c r="B112" s="64"/>
      <c r="C112" s="298"/>
      <c r="D112" s="162"/>
      <c r="E112" s="162"/>
      <c r="F112" s="162"/>
      <c r="G112" s="72"/>
      <c r="I112" s="51"/>
    </row>
    <row r="113" spans="1:9">
      <c r="A113" s="72"/>
      <c r="B113" s="312" t="s">
        <v>723</v>
      </c>
      <c r="C113" s="298"/>
      <c r="D113" s="162"/>
      <c r="E113" s="162"/>
      <c r="F113" s="162"/>
      <c r="G113" s="72"/>
      <c r="I113" s="51"/>
    </row>
    <row r="114" spans="1:9">
      <c r="A114" s="72"/>
      <c r="B114" s="138" t="s">
        <v>802</v>
      </c>
      <c r="C114" s="298"/>
      <c r="D114" s="299">
        <v>183774.94</v>
      </c>
      <c r="E114" s="162"/>
      <c r="F114" s="162"/>
      <c r="G114" s="72"/>
      <c r="I114" s="51"/>
    </row>
    <row r="115" spans="1:9">
      <c r="A115" s="72"/>
      <c r="B115" s="138" t="s">
        <v>724</v>
      </c>
      <c r="C115" s="298"/>
      <c r="D115" s="299">
        <v>-60000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2">
        <f>-80460.94-24755-18559</f>
        <v>-123774.94</v>
      </c>
      <c r="E116" s="162"/>
      <c r="F116" s="162"/>
      <c r="G116" s="72"/>
      <c r="I116" s="51"/>
    </row>
    <row r="117" spans="1:9">
      <c r="A117" s="72"/>
      <c r="B117" s="138" t="s">
        <v>721</v>
      </c>
      <c r="C117" s="298"/>
      <c r="D117" s="300">
        <v>0</v>
      </c>
      <c r="E117" s="162"/>
      <c r="F117" s="162"/>
      <c r="G117" s="72"/>
      <c r="I117" s="51"/>
    </row>
    <row r="118" spans="1:9">
      <c r="A118" s="72"/>
      <c r="B118" s="138" t="str">
        <f>B110</f>
        <v>Bokført verdi 31.12.2021</v>
      </c>
      <c r="C118" s="298"/>
      <c r="D118" s="299">
        <f>SUM(D114:D117)</f>
        <v>0</v>
      </c>
      <c r="E118" s="299"/>
      <c r="F118" s="162"/>
      <c r="G118" s="72"/>
      <c r="I118" s="51"/>
    </row>
    <row r="119" spans="1:9">
      <c r="A119" s="72"/>
      <c r="B119" s="138" t="s">
        <v>725</v>
      </c>
      <c r="C119" s="298"/>
      <c r="D119" s="162"/>
      <c r="E119" s="162"/>
      <c r="F119" s="162"/>
      <c r="G119" s="72"/>
      <c r="I119" s="51"/>
    </row>
    <row r="120" spans="1:9" ht="13.5" customHeight="1">
      <c r="A120" s="72"/>
      <c r="B120" s="138"/>
      <c r="C120" s="298"/>
      <c r="D120" s="162"/>
      <c r="E120" s="162"/>
      <c r="F120" s="162"/>
      <c r="G120" s="72"/>
      <c r="I120" s="51"/>
    </row>
    <row r="121" spans="1:9">
      <c r="A121" s="72"/>
      <c r="B121" s="312" t="s">
        <v>850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851</v>
      </c>
      <c r="C122" s="298"/>
      <c r="D122" s="162">
        <v>62110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323">
        <f>-27604-20703-13803</f>
        <v>-62110</v>
      </c>
      <c r="E123" s="162"/>
      <c r="F123" s="162"/>
      <c r="G123" s="72"/>
      <c r="I123" s="51"/>
    </row>
    <row r="124" spans="1:9" ht="13.8" thickBot="1">
      <c r="A124" s="72"/>
      <c r="B124" s="138" t="s">
        <v>721</v>
      </c>
      <c r="C124" s="298"/>
      <c r="D124" s="324">
        <v>0</v>
      </c>
      <c r="E124" s="162"/>
      <c r="F124" s="162"/>
      <c r="G124" s="72"/>
      <c r="I124" s="51"/>
    </row>
    <row r="125" spans="1:9">
      <c r="A125" s="72"/>
      <c r="B125" s="138" t="str">
        <f>B118</f>
        <v>Bokført verdi 31.12.2021</v>
      </c>
      <c r="C125" s="298"/>
      <c r="D125" s="162">
        <f>SUM(D122:D124)</f>
        <v>0</v>
      </c>
      <c r="E125" s="162"/>
      <c r="F125" s="162"/>
      <c r="G125" s="72"/>
      <c r="I125" s="51"/>
    </row>
    <row r="126" spans="1:9">
      <c r="A126" s="72"/>
      <c r="B126" s="138" t="s">
        <v>852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>
      <c r="A128" s="72"/>
      <c r="B128" s="312" t="s">
        <v>864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881</v>
      </c>
      <c r="C129" s="298"/>
      <c r="D129" s="162">
        <v>42985.73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f>-8597.15-8597.15</f>
        <v>-17194.3</v>
      </c>
      <c r="E130" s="162"/>
      <c r="F130" s="162"/>
      <c r="G130" s="72"/>
      <c r="I130" s="51"/>
    </row>
    <row r="131" spans="1:9" ht="13.8" thickBot="1">
      <c r="A131" s="72"/>
      <c r="B131" s="138" t="s">
        <v>721</v>
      </c>
      <c r="C131" s="298"/>
      <c r="D131" s="324">
        <v>-8597.15</v>
      </c>
      <c r="E131" s="162"/>
      <c r="F131" s="162"/>
      <c r="G131" s="72"/>
      <c r="I131" s="51"/>
    </row>
    <row r="132" spans="1:9">
      <c r="A132" s="72"/>
      <c r="B132" s="138" t="str">
        <f>B125</f>
        <v>Bokført verdi 31.12.2021</v>
      </c>
      <c r="C132" s="298"/>
      <c r="D132" s="162">
        <f>SUM(D129:D131)</f>
        <v>17194.280000000006</v>
      </c>
      <c r="E132" s="162"/>
      <c r="F132" s="162"/>
      <c r="G132" s="72"/>
      <c r="I132" s="51"/>
    </row>
    <row r="133" spans="1:9">
      <c r="A133" s="72"/>
      <c r="B133" s="138" t="s">
        <v>882</v>
      </c>
      <c r="C133" s="298"/>
      <c r="D133" s="162"/>
      <c r="E133" s="162"/>
      <c r="F133" s="162"/>
      <c r="G133" s="72"/>
      <c r="I133" s="51"/>
    </row>
    <row r="134" spans="1:9">
      <c r="A134" s="72"/>
      <c r="B134" s="138"/>
      <c r="C134" s="298"/>
      <c r="D134" s="162"/>
      <c r="E134" s="162"/>
      <c r="F134" s="162"/>
      <c r="G134" s="72"/>
      <c r="I134" s="51"/>
    </row>
    <row r="135" spans="1:9">
      <c r="A135" s="72"/>
      <c r="B135" s="312" t="s">
        <v>915</v>
      </c>
      <c r="C135" s="298"/>
      <c r="D135" s="162"/>
      <c r="E135" s="162"/>
      <c r="F135" s="162"/>
      <c r="G135" s="72"/>
      <c r="I135" s="51"/>
    </row>
    <row r="136" spans="1:9">
      <c r="A136" s="72"/>
      <c r="B136" s="138" t="s">
        <v>916</v>
      </c>
      <c r="C136" s="298"/>
      <c r="D136" s="162">
        <v>177181.26</v>
      </c>
      <c r="E136" s="162"/>
      <c r="F136" s="162"/>
      <c r="G136" s="72"/>
      <c r="I136" s="51"/>
    </row>
    <row r="137" spans="1:9">
      <c r="A137" s="72"/>
      <c r="B137" s="138" t="s">
        <v>991</v>
      </c>
      <c r="C137" s="298"/>
      <c r="D137" s="162">
        <f>174754+82417+65337+34605+76989+18125+98990</f>
        <v>551217</v>
      </c>
      <c r="E137" s="162"/>
      <c r="F137" s="162"/>
      <c r="G137" s="72"/>
      <c r="I137" s="51"/>
    </row>
    <row r="138" spans="1:9">
      <c r="A138" s="72"/>
      <c r="B138" s="138" t="s">
        <v>801</v>
      </c>
      <c r="C138" s="298"/>
      <c r="D138" s="162">
        <f>-26628.19-35424.25</f>
        <v>-62052.44</v>
      </c>
      <c r="E138" s="162"/>
      <c r="F138" s="162"/>
      <c r="G138" s="72"/>
      <c r="I138" s="51"/>
    </row>
    <row r="139" spans="1:9" ht="13.8" thickBot="1">
      <c r="A139" s="72"/>
      <c r="B139" s="138" t="s">
        <v>721</v>
      </c>
      <c r="C139" s="298"/>
      <c r="D139" s="324">
        <v>-35424.25</v>
      </c>
      <c r="E139" s="162"/>
      <c r="F139" s="162"/>
      <c r="G139" s="72"/>
      <c r="I139" s="51"/>
    </row>
    <row r="140" spans="1:9">
      <c r="A140" s="72"/>
      <c r="B140" s="138" t="str">
        <f>B132</f>
        <v>Bokført verdi 31.12.2021</v>
      </c>
      <c r="C140" s="298"/>
      <c r="D140" s="162">
        <f>SUM(D136:D139)</f>
        <v>630921.57000000007</v>
      </c>
      <c r="E140" s="162"/>
      <c r="F140" s="162"/>
      <c r="G140" s="72"/>
      <c r="I140" s="51"/>
    </row>
    <row r="141" spans="1:9">
      <c r="A141" s="72"/>
      <c r="B141" s="138" t="s">
        <v>992</v>
      </c>
      <c r="C141" s="298"/>
      <c r="D141" s="162"/>
      <c r="E141" s="162"/>
      <c r="F141" s="162"/>
      <c r="G141" s="72"/>
      <c r="I141" s="51"/>
    </row>
    <row r="142" spans="1:9">
      <c r="A142" s="72"/>
      <c r="B142" s="138"/>
      <c r="C142" s="298"/>
      <c r="D142" s="162"/>
      <c r="E142" s="162"/>
      <c r="F142" s="162"/>
      <c r="G142" s="72"/>
      <c r="I142" s="51"/>
    </row>
    <row r="143" spans="1:9">
      <c r="A143" s="72"/>
      <c r="B143" s="312" t="s">
        <v>985</v>
      </c>
      <c r="C143" s="298"/>
      <c r="D143" s="162"/>
      <c r="E143" s="162"/>
      <c r="F143" s="162"/>
      <c r="G143" s="72"/>
      <c r="I143" s="51"/>
    </row>
    <row r="144" spans="1:9">
      <c r="A144" s="72"/>
      <c r="B144" s="138" t="s">
        <v>993</v>
      </c>
      <c r="C144" s="298"/>
      <c r="D144" s="299">
        <f>192500+828888+250000+10500</f>
        <v>1281888</v>
      </c>
      <c r="E144" s="162"/>
      <c r="F144" s="162"/>
      <c r="G144" s="72"/>
      <c r="I144" s="51"/>
    </row>
    <row r="145" spans="1:9" ht="12.75" customHeight="1">
      <c r="A145" s="72"/>
      <c r="B145" s="368" t="s">
        <v>1004</v>
      </c>
      <c r="C145" s="298"/>
      <c r="D145" s="378">
        <v>-350000</v>
      </c>
      <c r="E145" s="162"/>
      <c r="F145" s="162"/>
      <c r="G145" s="72"/>
      <c r="I145" s="51"/>
    </row>
    <row r="146" spans="1:9" ht="12.75" customHeight="1">
      <c r="A146" s="72"/>
      <c r="B146" s="367" t="s">
        <v>1005</v>
      </c>
      <c r="C146" s="298"/>
      <c r="D146" s="378"/>
      <c r="E146" s="162"/>
      <c r="F146" s="162"/>
      <c r="G146" s="72"/>
      <c r="I146" s="51"/>
    </row>
    <row r="147" spans="1:9">
      <c r="A147" s="72"/>
      <c r="B147" s="362" t="s">
        <v>1003</v>
      </c>
      <c r="C147" s="298"/>
      <c r="D147" s="299">
        <v>-650000</v>
      </c>
      <c r="E147" s="162"/>
      <c r="F147" s="162"/>
      <c r="G147" s="72"/>
      <c r="I147" s="51"/>
    </row>
    <row r="148" spans="1:9">
      <c r="A148" s="72"/>
      <c r="B148" s="362" t="s">
        <v>1006</v>
      </c>
      <c r="C148" s="298"/>
      <c r="D148" s="299">
        <v>0</v>
      </c>
      <c r="E148" s="162"/>
      <c r="F148" s="162"/>
      <c r="G148" s="72"/>
      <c r="I148" s="51"/>
    </row>
    <row r="149" spans="1:9" ht="13.8" thickBot="1">
      <c r="A149" s="72"/>
      <c r="B149" s="138" t="s">
        <v>721</v>
      </c>
      <c r="C149" s="298"/>
      <c r="D149" s="363">
        <v>0</v>
      </c>
      <c r="E149" s="162"/>
      <c r="F149" s="162"/>
      <c r="G149" s="72"/>
      <c r="I149" s="51"/>
    </row>
    <row r="150" spans="1:9">
      <c r="A150" s="72"/>
      <c r="B150" s="138" t="str">
        <f>B140</f>
        <v>Bokført verdi 31.12.2021</v>
      </c>
      <c r="C150" s="298"/>
      <c r="D150" s="299">
        <f>SUM(D144:D149)</f>
        <v>281888</v>
      </c>
      <c r="E150" s="162"/>
      <c r="F150" s="162"/>
      <c r="G150" s="72"/>
      <c r="I150" s="51"/>
    </row>
    <row r="151" spans="1:9">
      <c r="A151" s="72"/>
      <c r="B151" s="138" t="s">
        <v>994</v>
      </c>
      <c r="C151" s="298"/>
      <c r="D151" s="162"/>
      <c r="E151" s="162"/>
      <c r="F151" s="162"/>
      <c r="G151" s="72"/>
      <c r="I151" s="51"/>
    </row>
    <row r="152" spans="1:9">
      <c r="A152" s="72"/>
      <c r="B152" s="138"/>
      <c r="C152" s="298"/>
      <c r="D152" s="162"/>
      <c r="E152" s="162"/>
      <c r="F152" s="162"/>
      <c r="G152" s="72"/>
      <c r="I152" s="51"/>
    </row>
    <row r="153" spans="1:9">
      <c r="A153" s="72"/>
      <c r="B153" s="312" t="s">
        <v>1000</v>
      </c>
      <c r="C153" s="298"/>
      <c r="D153" s="162"/>
      <c r="E153" s="162"/>
      <c r="F153" s="162"/>
      <c r="G153" s="72"/>
      <c r="I153" s="51"/>
    </row>
    <row r="154" spans="1:9">
      <c r="A154" s="72"/>
      <c r="B154" s="138" t="s">
        <v>1001</v>
      </c>
      <c r="C154" s="298"/>
      <c r="D154" s="162">
        <v>30000</v>
      </c>
      <c r="E154" s="162"/>
      <c r="F154" s="162"/>
      <c r="G154" s="72"/>
      <c r="I154" s="51"/>
    </row>
    <row r="155" spans="1:9">
      <c r="A155" s="72"/>
      <c r="B155" s="138" t="s">
        <v>801</v>
      </c>
      <c r="C155" s="298"/>
      <c r="D155" s="162">
        <v>0</v>
      </c>
      <c r="E155" s="162"/>
      <c r="F155" s="162"/>
      <c r="G155" s="72"/>
      <c r="I155" s="51"/>
    </row>
    <row r="156" spans="1:9" ht="13.8" thickBot="1">
      <c r="A156" s="72"/>
      <c r="B156" s="138" t="s">
        <v>721</v>
      </c>
      <c r="C156" s="298"/>
      <c r="D156" s="324">
        <f>7*-500</f>
        <v>-3500</v>
      </c>
      <c r="E156" s="162"/>
      <c r="F156" s="162"/>
      <c r="G156" s="72"/>
      <c r="I156" s="51"/>
    </row>
    <row r="157" spans="1:9">
      <c r="A157" s="72"/>
      <c r="B157" s="138" t="str">
        <f>B150</f>
        <v>Bokført verdi 31.12.2021</v>
      </c>
      <c r="C157" s="298"/>
      <c r="D157" s="162">
        <f>SUM(D154:D156)</f>
        <v>26500</v>
      </c>
      <c r="E157" s="162"/>
      <c r="F157" s="162"/>
      <c r="G157" s="72"/>
      <c r="I157" s="51"/>
    </row>
    <row r="158" spans="1:9">
      <c r="A158" s="72"/>
      <c r="B158" s="138" t="s">
        <v>1002</v>
      </c>
      <c r="C158" s="298"/>
      <c r="D158" s="162"/>
      <c r="E158" s="162"/>
      <c r="F158" s="162"/>
      <c r="G158" s="72"/>
      <c r="I158" s="51"/>
    </row>
    <row r="159" spans="1:9">
      <c r="A159" s="72"/>
      <c r="B159" s="138"/>
      <c r="C159" s="298"/>
      <c r="D159" s="162"/>
      <c r="E159" s="162"/>
      <c r="F159" s="162"/>
      <c r="G159" s="72"/>
      <c r="I159" s="51"/>
    </row>
    <row r="160" spans="1:9">
      <c r="A160" s="72"/>
      <c r="B160" s="138"/>
      <c r="C160" s="298"/>
      <c r="D160" s="162"/>
      <c r="E160" s="162"/>
      <c r="F160" s="162"/>
      <c r="G160" s="72"/>
      <c r="I160" s="51"/>
    </row>
    <row r="161" spans="1:9">
      <c r="A161" s="163" t="s">
        <v>475</v>
      </c>
      <c r="B161" s="312" t="s">
        <v>476</v>
      </c>
      <c r="C161" s="156"/>
      <c r="D161" s="156"/>
      <c r="E161" s="156"/>
      <c r="F161" s="156"/>
      <c r="G161" s="65"/>
    </row>
    <row r="162" spans="1:9">
      <c r="A162" s="72"/>
      <c r="B162" s="138" t="s">
        <v>995</v>
      </c>
      <c r="C162" s="156"/>
      <c r="D162" s="156"/>
      <c r="E162" s="156"/>
      <c r="F162" s="156"/>
      <c r="G162" s="65"/>
    </row>
    <row r="163" spans="1:9">
      <c r="A163" s="72"/>
      <c r="B163" s="138" t="s">
        <v>996</v>
      </c>
      <c r="C163" s="156"/>
      <c r="D163" s="156"/>
      <c r="E163" s="156"/>
      <c r="F163" s="156"/>
      <c r="G163" s="65"/>
    </row>
    <row r="164" spans="1:9">
      <c r="A164" s="65"/>
      <c r="B164" s="64"/>
      <c r="C164" s="156"/>
      <c r="D164" s="156"/>
      <c r="E164" s="156"/>
      <c r="F164" s="156"/>
      <c r="G164" s="65"/>
    </row>
    <row r="165" spans="1:9">
      <c r="A165" s="65"/>
      <c r="B165" s="64"/>
      <c r="C165" s="156"/>
      <c r="D165" s="156"/>
      <c r="E165" s="156"/>
      <c r="F165" s="156"/>
      <c r="G165" s="65"/>
    </row>
    <row r="166" spans="1:9">
      <c r="A166" s="336" t="s">
        <v>477</v>
      </c>
      <c r="B166" s="312" t="s">
        <v>478</v>
      </c>
      <c r="C166" s="156"/>
      <c r="D166" s="156"/>
      <c r="E166" s="156"/>
      <c r="F166" s="156"/>
      <c r="G166" s="65"/>
    </row>
    <row r="167" spans="1:9">
      <c r="A167" s="65"/>
      <c r="B167" s="72" t="s">
        <v>527</v>
      </c>
      <c r="C167" s="305" t="s">
        <v>979</v>
      </c>
      <c r="D167" s="325" t="s">
        <v>534</v>
      </c>
      <c r="E167" s="326" t="s">
        <v>980</v>
      </c>
      <c r="F167" s="162"/>
      <c r="G167" s="65"/>
      <c r="I167" s="51"/>
    </row>
    <row r="168" spans="1:9">
      <c r="A168" s="65"/>
      <c r="B168" s="72" t="s">
        <v>528</v>
      </c>
      <c r="C168" s="162">
        <v>-541013.30000000005</v>
      </c>
      <c r="D168" s="162"/>
      <c r="E168" s="298">
        <f>C168</f>
        <v>-541013.30000000005</v>
      </c>
      <c r="F168" s="162"/>
      <c r="G168" s="65"/>
      <c r="I168" s="51"/>
    </row>
    <row r="169" spans="1:9">
      <c r="A169" s="65"/>
      <c r="B169" s="327" t="s">
        <v>126</v>
      </c>
      <c r="C169" s="321">
        <v>-96296.55</v>
      </c>
      <c r="D169" s="321"/>
      <c r="E169" s="302">
        <f>C169</f>
        <v>-96296.55</v>
      </c>
      <c r="F169" s="162"/>
      <c r="G169" s="65"/>
      <c r="I169" s="51"/>
    </row>
    <row r="170" spans="1:9">
      <c r="A170" s="65"/>
      <c r="B170" s="327"/>
      <c r="C170" s="162"/>
      <c r="D170" s="162"/>
      <c r="E170" s="301"/>
      <c r="F170" s="162"/>
      <c r="G170" s="65"/>
      <c r="I170" s="51"/>
    </row>
    <row r="171" spans="1:9">
      <c r="A171" s="65"/>
      <c r="B171" s="327" t="s">
        <v>955</v>
      </c>
      <c r="C171" s="162">
        <f>SUM(C168:C170)</f>
        <v>-637309.85000000009</v>
      </c>
      <c r="D171" s="162">
        <f>SUM(D168:D170)</f>
        <v>0</v>
      </c>
      <c r="E171" s="298">
        <f>SUM(E167:E170)</f>
        <v>-637309.85000000009</v>
      </c>
      <c r="F171" s="162" t="s">
        <v>374</v>
      </c>
      <c r="G171" s="65"/>
      <c r="I171" s="51"/>
    </row>
    <row r="172" spans="1:9">
      <c r="A172" s="65"/>
      <c r="B172" s="141" t="s">
        <v>374</v>
      </c>
      <c r="C172" s="303" t="s">
        <v>374</v>
      </c>
      <c r="D172" s="156"/>
      <c r="E172" s="162"/>
      <c r="F172" s="162"/>
      <c r="G172" s="65"/>
      <c r="I172" s="51"/>
    </row>
    <row r="173" spans="1:9">
      <c r="A173" s="65"/>
      <c r="B173" s="65"/>
      <c r="C173" s="304" t="str">
        <f>C167</f>
        <v>Verdi 1.1.2021</v>
      </c>
      <c r="D173" s="304" t="s">
        <v>532</v>
      </c>
      <c r="E173" s="305" t="str">
        <f>E167</f>
        <v>Verdi pr 31.12.2021</v>
      </c>
      <c r="F173" s="162"/>
      <c r="G173" s="65"/>
      <c r="I173" s="51"/>
    </row>
    <row r="174" spans="1:9">
      <c r="A174" s="65"/>
      <c r="B174" s="327" t="s">
        <v>432</v>
      </c>
      <c r="C174" s="306">
        <f>'Årsregnskap 2021'!D63-0.2</f>
        <v>-15218970.929999996</v>
      </c>
      <c r="D174" s="306">
        <f>'Årsregnskap 2021'!C32*-1</f>
        <v>-160713.71999999991</v>
      </c>
      <c r="E174" s="306">
        <f>SUM(C174:D174)</f>
        <v>-15379684.649999997</v>
      </c>
      <c r="F174" s="162"/>
      <c r="G174" s="292"/>
      <c r="I174" s="51"/>
    </row>
    <row r="175" spans="1:9">
      <c r="A175" s="65"/>
      <c r="B175" s="141"/>
      <c r="C175" s="307"/>
      <c r="D175" s="307"/>
      <c r="E175" s="307"/>
      <c r="F175" s="162"/>
      <c r="G175" s="65"/>
      <c r="H175" s="65"/>
    </row>
    <row r="176" spans="1:9">
      <c r="A176" s="65"/>
      <c r="B176" s="328" t="s">
        <v>998</v>
      </c>
      <c r="C176" s="307">
        <f>C171+C174</f>
        <v>-15856280.779999996</v>
      </c>
      <c r="D176" s="307">
        <f t="shared" ref="D176" si="0">D171+D174</f>
        <v>-160713.71999999991</v>
      </c>
      <c r="E176" s="307">
        <f>E171+E174</f>
        <v>-16016994.499999996</v>
      </c>
      <c r="F176" s="162"/>
      <c r="G176" s="65"/>
      <c r="H176" s="65"/>
    </row>
    <row r="177" spans="1:18">
      <c r="A177" s="65"/>
      <c r="B177" s="328"/>
      <c r="C177" s="307"/>
      <c r="D177" s="307"/>
      <c r="E177" s="307"/>
      <c r="F177" s="162"/>
      <c r="G177" s="65"/>
      <c r="H177" s="65"/>
    </row>
    <row r="178" spans="1:18">
      <c r="A178" s="72"/>
      <c r="B178" s="64"/>
      <c r="C178" s="162"/>
      <c r="D178" s="162"/>
      <c r="E178" s="162"/>
      <c r="F178" s="298"/>
      <c r="G178" s="72"/>
      <c r="H178" s="57"/>
      <c r="I178" s="51"/>
    </row>
    <row r="179" spans="1:18">
      <c r="A179" s="146" t="s">
        <v>978</v>
      </c>
      <c r="B179" s="65"/>
      <c r="C179" s="156"/>
      <c r="D179" s="156"/>
      <c r="E179" s="156"/>
      <c r="F179" s="156"/>
      <c r="G179" s="65"/>
    </row>
    <row r="180" spans="1:18" s="355" customFormat="1">
      <c r="A180" s="352" t="s">
        <v>760</v>
      </c>
      <c r="B180" s="352"/>
      <c r="C180" s="354"/>
      <c r="D180" s="354"/>
      <c r="E180" s="354"/>
      <c r="F180" s="354"/>
      <c r="G180" s="352"/>
      <c r="I180" s="352"/>
    </row>
    <row r="181" spans="1:18" s="355" customFormat="1">
      <c r="A181" s="352" t="s">
        <v>761</v>
      </c>
      <c r="B181" s="352"/>
      <c r="C181" s="354"/>
      <c r="D181" s="354"/>
      <c r="E181" s="354"/>
      <c r="F181" s="354"/>
      <c r="G181" s="352"/>
      <c r="I181" s="352"/>
    </row>
    <row r="182" spans="1:18">
      <c r="A182" s="65"/>
      <c r="B182" s="65"/>
      <c r="C182" s="156"/>
      <c r="D182" s="156"/>
      <c r="E182" s="156"/>
      <c r="F182" s="156"/>
      <c r="G182" s="65"/>
    </row>
    <row r="183" spans="1:18">
      <c r="A183" s="381" t="s">
        <v>757</v>
      </c>
      <c r="B183" s="381" t="s">
        <v>1</v>
      </c>
      <c r="C183" s="379" t="s">
        <v>981</v>
      </c>
      <c r="D183" s="383" t="s">
        <v>755</v>
      </c>
      <c r="E183" s="385" t="s">
        <v>982</v>
      </c>
      <c r="F183" s="379" t="s">
        <v>983</v>
      </c>
      <c r="G183" s="65"/>
    </row>
    <row r="184" spans="1:18" ht="13.8" thickBot="1">
      <c r="A184" s="382"/>
      <c r="B184" s="382"/>
      <c r="C184" s="380"/>
      <c r="D184" s="384"/>
      <c r="E184" s="386"/>
      <c r="F184" s="380"/>
      <c r="G184" s="65"/>
    </row>
    <row r="185" spans="1:18">
      <c r="A185" s="337">
        <v>2001</v>
      </c>
      <c r="B185" s="329" t="s">
        <v>566</v>
      </c>
      <c r="C185" s="308">
        <v>-42639.46</v>
      </c>
      <c r="D185" s="308">
        <v>0</v>
      </c>
      <c r="E185" s="364">
        <v>-94.1</v>
      </c>
      <c r="F185" s="330">
        <f>SUM(C185:E185)</f>
        <v>-42733.56</v>
      </c>
      <c r="G185" s="65"/>
      <c r="I185" s="292"/>
      <c r="J185" s="78"/>
    </row>
    <row r="186" spans="1:18">
      <c r="A186" s="338">
        <v>2002</v>
      </c>
      <c r="B186" s="268" t="s">
        <v>58</v>
      </c>
      <c r="C186" s="310">
        <v>-57260.97</v>
      </c>
      <c r="D186" s="310">
        <v>0</v>
      </c>
      <c r="E186" s="365">
        <v>68952.600000000006</v>
      </c>
      <c r="F186" s="331">
        <f t="shared" ref="F186:F235" si="1">SUM(C186:E186)</f>
        <v>11691.630000000005</v>
      </c>
      <c r="G186" s="65"/>
      <c r="I186" s="292"/>
      <c r="J186" s="78"/>
    </row>
    <row r="187" spans="1:18">
      <c r="A187" s="338">
        <v>2003</v>
      </c>
      <c r="B187" s="268" t="s">
        <v>60</v>
      </c>
      <c r="C187" s="310">
        <v>-130042.26999999999</v>
      </c>
      <c r="D187" s="310">
        <v>0</v>
      </c>
      <c r="E187" s="365">
        <v>-14800.95</v>
      </c>
      <c r="F187" s="331">
        <f t="shared" si="1"/>
        <v>-144843.22</v>
      </c>
      <c r="G187" s="65"/>
      <c r="I187" s="292"/>
      <c r="J187" s="78"/>
    </row>
    <row r="188" spans="1:18">
      <c r="A188" s="338">
        <v>2004</v>
      </c>
      <c r="B188" s="268" t="s">
        <v>62</v>
      </c>
      <c r="C188" s="310">
        <v>-55519.9</v>
      </c>
      <c r="D188" s="310">
        <v>0</v>
      </c>
      <c r="E188" s="365">
        <v>2101.63</v>
      </c>
      <c r="F188" s="331">
        <f t="shared" si="1"/>
        <v>-53418.270000000004</v>
      </c>
      <c r="G188" s="65"/>
      <c r="I188" s="292"/>
      <c r="J188" s="78"/>
    </row>
    <row r="189" spans="1:18">
      <c r="A189" s="338">
        <v>2005</v>
      </c>
      <c r="B189" s="268" t="s">
        <v>64</v>
      </c>
      <c r="C189" s="310">
        <v>14122.66</v>
      </c>
      <c r="D189" s="310">
        <v>0</v>
      </c>
      <c r="E189" s="365">
        <v>-8900</v>
      </c>
      <c r="F189" s="331">
        <f t="shared" si="1"/>
        <v>5222.66</v>
      </c>
      <c r="G189" s="65"/>
      <c r="I189" s="292"/>
      <c r="J189" s="78"/>
    </row>
    <row r="190" spans="1:18">
      <c r="A190" s="338">
        <v>2006</v>
      </c>
      <c r="B190" s="268" t="s">
        <v>66</v>
      </c>
      <c r="C190" s="310">
        <v>-104941.73</v>
      </c>
      <c r="D190" s="310">
        <v>0</v>
      </c>
      <c r="E190" s="365">
        <v>-17976.82</v>
      </c>
      <c r="F190" s="331">
        <f t="shared" si="1"/>
        <v>-122918.54999999999</v>
      </c>
      <c r="G190" s="65"/>
      <c r="I190" s="292"/>
      <c r="J190" s="78"/>
      <c r="R190" s="65"/>
    </row>
    <row r="191" spans="1:18">
      <c r="A191" s="338">
        <v>2007</v>
      </c>
      <c r="B191" s="268" t="s">
        <v>68</v>
      </c>
      <c r="C191" s="310">
        <v>-43301.7</v>
      </c>
      <c r="D191" s="310">
        <v>0</v>
      </c>
      <c r="E191" s="365">
        <v>17483.43</v>
      </c>
      <c r="F191" s="331">
        <f t="shared" si="1"/>
        <v>-25818.269999999997</v>
      </c>
      <c r="G191" s="65"/>
      <c r="I191" s="292"/>
      <c r="J191" s="78"/>
    </row>
    <row r="192" spans="1:18">
      <c r="A192" s="338">
        <v>2008</v>
      </c>
      <c r="B192" s="268" t="s">
        <v>70</v>
      </c>
      <c r="C192" s="310">
        <v>20268.29</v>
      </c>
      <c r="D192" s="310">
        <v>0</v>
      </c>
      <c r="E192" s="365">
        <v>0</v>
      </c>
      <c r="F192" s="331">
        <f t="shared" si="1"/>
        <v>20268.29</v>
      </c>
      <c r="G192" s="65"/>
      <c r="I192" s="292"/>
      <c r="J192" s="78"/>
    </row>
    <row r="193" spans="1:10">
      <c r="A193" s="338">
        <v>2009</v>
      </c>
      <c r="B193" s="268" t="s">
        <v>567</v>
      </c>
      <c r="C193" s="310">
        <v>-509404.67</v>
      </c>
      <c r="D193" s="310">
        <v>0</v>
      </c>
      <c r="E193" s="365">
        <v>-94919.62</v>
      </c>
      <c r="F193" s="331">
        <f t="shared" si="1"/>
        <v>-604324.29</v>
      </c>
      <c r="G193" s="65"/>
      <c r="I193" s="292"/>
      <c r="J193" s="78"/>
    </row>
    <row r="194" spans="1:10">
      <c r="A194" s="338">
        <v>2010</v>
      </c>
      <c r="B194" s="268" t="s">
        <v>74</v>
      </c>
      <c r="C194" s="310">
        <v>-62020.46</v>
      </c>
      <c r="D194" s="310">
        <v>0</v>
      </c>
      <c r="E194" s="365">
        <v>11011.58</v>
      </c>
      <c r="F194" s="331">
        <f t="shared" si="1"/>
        <v>-51008.88</v>
      </c>
      <c r="G194" s="65"/>
      <c r="I194" s="292"/>
      <c r="J194" s="78"/>
    </row>
    <row r="195" spans="1:10">
      <c r="A195" s="338">
        <v>2011</v>
      </c>
      <c r="B195" s="268" t="s">
        <v>76</v>
      </c>
      <c r="C195" s="310">
        <v>-4809.07</v>
      </c>
      <c r="D195" s="310">
        <v>0</v>
      </c>
      <c r="E195" s="365">
        <v>-5020</v>
      </c>
      <c r="F195" s="331">
        <f t="shared" si="1"/>
        <v>-9829.07</v>
      </c>
      <c r="G195" s="65"/>
      <c r="I195" s="292"/>
      <c r="J195" s="78"/>
    </row>
    <row r="196" spans="1:10">
      <c r="A196" s="338">
        <v>2012</v>
      </c>
      <c r="B196" s="268" t="s">
        <v>78</v>
      </c>
      <c r="C196" s="310">
        <v>29883.259999999951</v>
      </c>
      <c r="D196" s="310">
        <v>0</v>
      </c>
      <c r="E196" s="365">
        <v>-49868.32</v>
      </c>
      <c r="F196" s="331">
        <f t="shared" si="1"/>
        <v>-19985.060000000049</v>
      </c>
      <c r="G196" s="65"/>
      <c r="I196" s="292"/>
      <c r="J196" s="78"/>
    </row>
    <row r="197" spans="1:10">
      <c r="A197" s="338">
        <v>2013</v>
      </c>
      <c r="B197" s="268" t="s">
        <v>80</v>
      </c>
      <c r="C197" s="310">
        <v>-50315.67</v>
      </c>
      <c r="D197" s="310">
        <v>0</v>
      </c>
      <c r="E197" s="365">
        <v>-62629.5</v>
      </c>
      <c r="F197" s="331">
        <f t="shared" si="1"/>
        <v>-112945.17</v>
      </c>
      <c r="G197" s="65"/>
      <c r="I197" s="292"/>
      <c r="J197" s="78"/>
    </row>
    <row r="198" spans="1:10">
      <c r="A198" s="338">
        <v>2014</v>
      </c>
      <c r="B198" s="268" t="s">
        <v>82</v>
      </c>
      <c r="C198" s="310">
        <v>-31848.73</v>
      </c>
      <c r="D198" s="310">
        <v>0</v>
      </c>
      <c r="E198" s="365">
        <v>1474.1</v>
      </c>
      <c r="F198" s="331">
        <f t="shared" si="1"/>
        <v>-30374.63</v>
      </c>
      <c r="G198" s="65"/>
      <c r="I198" s="292"/>
      <c r="J198" s="78"/>
    </row>
    <row r="199" spans="1:10">
      <c r="A199" s="338">
        <v>2015</v>
      </c>
      <c r="B199" s="268" t="s">
        <v>84</v>
      </c>
      <c r="C199" s="310">
        <v>-5942.65</v>
      </c>
      <c r="D199" s="310">
        <v>0</v>
      </c>
      <c r="E199" s="365">
        <v>-4000</v>
      </c>
      <c r="F199" s="331">
        <f t="shared" si="1"/>
        <v>-9942.65</v>
      </c>
      <c r="G199" s="65"/>
      <c r="I199" s="292"/>
      <c r="J199" s="78"/>
    </row>
    <row r="200" spans="1:10">
      <c r="A200" s="338">
        <v>2016</v>
      </c>
      <c r="B200" s="268" t="s">
        <v>86</v>
      </c>
      <c r="C200" s="310">
        <v>-82278.13</v>
      </c>
      <c r="D200" s="310">
        <v>0</v>
      </c>
      <c r="E200" s="365">
        <v>7900.62</v>
      </c>
      <c r="F200" s="331">
        <f t="shared" si="1"/>
        <v>-74377.510000000009</v>
      </c>
      <c r="G200" s="65"/>
      <c r="I200" s="292"/>
      <c r="J200" s="78"/>
    </row>
    <row r="201" spans="1:10">
      <c r="A201" s="338">
        <v>2017</v>
      </c>
      <c r="B201" s="268" t="s">
        <v>88</v>
      </c>
      <c r="C201" s="310">
        <v>-105475.15999999999</v>
      </c>
      <c r="D201" s="310">
        <v>0</v>
      </c>
      <c r="E201" s="365">
        <v>10686.56</v>
      </c>
      <c r="F201" s="331">
        <f t="shared" si="1"/>
        <v>-94788.599999999991</v>
      </c>
      <c r="G201" s="65"/>
      <c r="I201" s="292"/>
      <c r="J201" s="78"/>
    </row>
    <row r="202" spans="1:10">
      <c r="A202" s="338">
        <v>2018</v>
      </c>
      <c r="B202" s="268" t="s">
        <v>90</v>
      </c>
      <c r="C202" s="310">
        <v>-69623.66</v>
      </c>
      <c r="D202" s="310">
        <v>0</v>
      </c>
      <c r="E202" s="365">
        <v>27799.51</v>
      </c>
      <c r="F202" s="331">
        <f t="shared" si="1"/>
        <v>-41824.150000000009</v>
      </c>
      <c r="G202" s="65"/>
      <c r="I202" s="292"/>
      <c r="J202" s="78"/>
    </row>
    <row r="203" spans="1:10">
      <c r="A203" s="338">
        <v>2019</v>
      </c>
      <c r="B203" s="268" t="s">
        <v>811</v>
      </c>
      <c r="C203" s="310">
        <v>-59223.45</v>
      </c>
      <c r="D203" s="310">
        <v>0</v>
      </c>
      <c r="E203" s="365">
        <v>9096</v>
      </c>
      <c r="F203" s="331">
        <f t="shared" si="1"/>
        <v>-50127.45</v>
      </c>
      <c r="G203" s="65"/>
      <c r="H203" s="149"/>
      <c r="I203" s="292"/>
      <c r="J203" s="78"/>
    </row>
    <row r="204" spans="1:10">
      <c r="A204" s="338">
        <v>2020</v>
      </c>
      <c r="B204" s="268" t="s">
        <v>94</v>
      </c>
      <c r="C204" s="310">
        <v>-9247.66</v>
      </c>
      <c r="D204" s="310">
        <v>0</v>
      </c>
      <c r="E204" s="365">
        <v>-2250</v>
      </c>
      <c r="F204" s="331">
        <f t="shared" si="1"/>
        <v>-11497.66</v>
      </c>
      <c r="G204" s="65"/>
      <c r="I204" s="292"/>
      <c r="J204" s="78"/>
    </row>
    <row r="205" spans="1:10">
      <c r="A205" s="338">
        <v>2021</v>
      </c>
      <c r="B205" s="268" t="s">
        <v>923</v>
      </c>
      <c r="C205" s="310">
        <v>-65741.100000000006</v>
      </c>
      <c r="D205" s="310">
        <v>0</v>
      </c>
      <c r="E205" s="365">
        <v>28890.31</v>
      </c>
      <c r="F205" s="331">
        <f t="shared" si="1"/>
        <v>-36850.790000000008</v>
      </c>
      <c r="G205" s="65"/>
      <c r="I205" s="292"/>
      <c r="J205" s="78"/>
    </row>
    <row r="206" spans="1:10">
      <c r="A206" s="338">
        <v>2024</v>
      </c>
      <c r="B206" s="268" t="s">
        <v>96</v>
      </c>
      <c r="C206" s="310">
        <v>-26227.73000000001</v>
      </c>
      <c r="D206" s="310">
        <v>0</v>
      </c>
      <c r="E206" s="365">
        <v>261469.77</v>
      </c>
      <c r="F206" s="331">
        <f t="shared" si="1"/>
        <v>235242.03999999998</v>
      </c>
      <c r="G206" s="65"/>
      <c r="I206" s="292"/>
      <c r="J206" s="78"/>
    </row>
    <row r="207" spans="1:10">
      <c r="A207" s="338">
        <v>2025</v>
      </c>
      <c r="B207" s="268" t="s">
        <v>98</v>
      </c>
      <c r="C207" s="310">
        <v>-1021.61</v>
      </c>
      <c r="D207" s="310">
        <v>0</v>
      </c>
      <c r="E207" s="365">
        <v>0</v>
      </c>
      <c r="F207" s="331">
        <f t="shared" si="1"/>
        <v>-1021.61</v>
      </c>
      <c r="G207" s="65"/>
      <c r="I207" s="292"/>
      <c r="J207" s="78"/>
    </row>
    <row r="208" spans="1:10">
      <c r="A208" s="338">
        <v>2026</v>
      </c>
      <c r="B208" s="268" t="s">
        <v>100</v>
      </c>
      <c r="C208" s="310">
        <v>-13919.65</v>
      </c>
      <c r="D208" s="310">
        <v>0</v>
      </c>
      <c r="E208" s="365">
        <v>0</v>
      </c>
      <c r="F208" s="331">
        <f t="shared" si="1"/>
        <v>-13919.65</v>
      </c>
      <c r="G208" s="65"/>
      <c r="I208" s="292"/>
      <c r="J208" s="78"/>
    </row>
    <row r="209" spans="1:12">
      <c r="A209" s="338">
        <v>2027</v>
      </c>
      <c r="B209" s="268" t="s">
        <v>102</v>
      </c>
      <c r="C209" s="310">
        <v>-181814.8</v>
      </c>
      <c r="D209" s="310">
        <v>0</v>
      </c>
      <c r="E209" s="365">
        <v>-16827.75</v>
      </c>
      <c r="F209" s="331">
        <f t="shared" si="1"/>
        <v>-198642.55</v>
      </c>
      <c r="G209" s="65"/>
      <c r="H209" s="78"/>
      <c r="I209" s="292"/>
      <c r="J209" s="78"/>
      <c r="L209" s="78"/>
    </row>
    <row r="210" spans="1:12">
      <c r="A210" s="338">
        <v>2028</v>
      </c>
      <c r="B210" s="268" t="s">
        <v>569</v>
      </c>
      <c r="C210" s="310">
        <v>-30333.73</v>
      </c>
      <c r="D210" s="310">
        <v>0</v>
      </c>
      <c r="E210" s="365">
        <v>10717.19</v>
      </c>
      <c r="F210" s="331">
        <f t="shared" si="1"/>
        <v>-19616.54</v>
      </c>
      <c r="G210" s="65"/>
      <c r="I210" s="292"/>
      <c r="J210" s="78"/>
    </row>
    <row r="211" spans="1:12">
      <c r="A211" s="338">
        <v>2029</v>
      </c>
      <c r="B211" s="268" t="s">
        <v>106</v>
      </c>
      <c r="C211" s="310">
        <v>-76260.489999999991</v>
      </c>
      <c r="D211" s="310">
        <v>0</v>
      </c>
      <c r="E211" s="365">
        <v>-2283.5300000000002</v>
      </c>
      <c r="F211" s="331">
        <f t="shared" si="1"/>
        <v>-78544.01999999999</v>
      </c>
      <c r="G211" s="65"/>
      <c r="I211" s="292"/>
      <c r="J211" s="78"/>
    </row>
    <row r="212" spans="1:12">
      <c r="A212" s="338">
        <v>2030</v>
      </c>
      <c r="B212" s="268" t="s">
        <v>108</v>
      </c>
      <c r="C212" s="310">
        <v>-56612.210000000006</v>
      </c>
      <c r="D212" s="310">
        <v>0</v>
      </c>
      <c r="E212" s="365">
        <v>-3031.15</v>
      </c>
      <c r="F212" s="331">
        <f t="shared" si="1"/>
        <v>-59643.360000000008</v>
      </c>
      <c r="G212" s="65"/>
      <c r="I212" s="292"/>
      <c r="J212" s="78"/>
    </row>
    <row r="213" spans="1:12">
      <c r="A213" s="338">
        <v>2031</v>
      </c>
      <c r="B213" s="268" t="s">
        <v>570</v>
      </c>
      <c r="C213" s="310">
        <v>-229854.25</v>
      </c>
      <c r="D213" s="310">
        <v>0</v>
      </c>
      <c r="E213" s="365">
        <v>22154.78</v>
      </c>
      <c r="F213" s="331">
        <f t="shared" si="1"/>
        <v>-207699.47</v>
      </c>
      <c r="G213" s="65"/>
      <c r="I213" s="292"/>
      <c r="J213" s="78"/>
    </row>
    <row r="214" spans="1:12">
      <c r="A214" s="338">
        <v>2032</v>
      </c>
      <c r="B214" s="268" t="s">
        <v>112</v>
      </c>
      <c r="C214" s="310">
        <v>-21398.03</v>
      </c>
      <c r="D214" s="310">
        <v>0</v>
      </c>
      <c r="E214" s="365">
        <v>5439</v>
      </c>
      <c r="F214" s="331">
        <f t="shared" si="1"/>
        <v>-15959.029999999999</v>
      </c>
      <c r="G214" s="65"/>
      <c r="I214" s="292"/>
      <c r="J214" s="78"/>
    </row>
    <row r="215" spans="1:12">
      <c r="A215" s="338">
        <v>2033</v>
      </c>
      <c r="B215" s="268" t="s">
        <v>892</v>
      </c>
      <c r="C215" s="310">
        <v>-301474</v>
      </c>
      <c r="D215" s="310">
        <v>0</v>
      </c>
      <c r="E215" s="365">
        <v>61723.94</v>
      </c>
      <c r="F215" s="331">
        <f t="shared" si="1"/>
        <v>-239750.06</v>
      </c>
      <c r="G215" s="65"/>
      <c r="I215" s="292"/>
      <c r="J215" s="78"/>
    </row>
    <row r="216" spans="1:12">
      <c r="A216" s="338">
        <v>2034</v>
      </c>
      <c r="B216" s="268" t="s">
        <v>114</v>
      </c>
      <c r="C216" s="310">
        <v>-80945.759999999995</v>
      </c>
      <c r="D216" s="310">
        <v>0</v>
      </c>
      <c r="E216" s="365">
        <v>-7643.99</v>
      </c>
      <c r="F216" s="331">
        <f t="shared" si="1"/>
        <v>-88589.75</v>
      </c>
      <c r="G216" s="65"/>
      <c r="I216" s="292"/>
      <c r="J216" s="78"/>
    </row>
    <row r="217" spans="1:12">
      <c r="A217" s="338">
        <v>2035</v>
      </c>
      <c r="B217" s="268" t="s">
        <v>116</v>
      </c>
      <c r="C217" s="310">
        <v>-117451.51</v>
      </c>
      <c r="D217" s="310">
        <v>0</v>
      </c>
      <c r="E217" s="365">
        <v>-24005.41</v>
      </c>
      <c r="F217" s="331">
        <f t="shared" si="1"/>
        <v>-141456.91999999998</v>
      </c>
      <c r="G217" s="65"/>
      <c r="I217" s="292"/>
      <c r="J217" s="78"/>
    </row>
    <row r="218" spans="1:12">
      <c r="A218" s="338">
        <v>2036</v>
      </c>
      <c r="B218" s="268" t="s">
        <v>571</v>
      </c>
      <c r="C218" s="310">
        <v>-8007</v>
      </c>
      <c r="D218" s="310">
        <v>0</v>
      </c>
      <c r="E218" s="365">
        <v>0</v>
      </c>
      <c r="F218" s="331">
        <f t="shared" si="1"/>
        <v>-8007</v>
      </c>
      <c r="G218" s="65"/>
      <c r="I218" s="292"/>
      <c r="J218" s="78"/>
    </row>
    <row r="219" spans="1:12">
      <c r="A219" s="338">
        <v>2037</v>
      </c>
      <c r="B219" s="268" t="s">
        <v>924</v>
      </c>
      <c r="C219" s="310">
        <v>-411749.04</v>
      </c>
      <c r="D219" s="310">
        <v>0</v>
      </c>
      <c r="E219" s="365">
        <v>49744.61</v>
      </c>
      <c r="F219" s="331">
        <f t="shared" si="1"/>
        <v>-362004.43</v>
      </c>
      <c r="G219" s="65"/>
      <c r="I219" s="292"/>
      <c r="J219" s="78"/>
    </row>
    <row r="220" spans="1:12">
      <c r="A220" s="338">
        <v>2038</v>
      </c>
      <c r="B220" s="268" t="s">
        <v>573</v>
      </c>
      <c r="C220" s="310">
        <v>-16405.759999999998</v>
      </c>
      <c r="D220" s="310">
        <v>0</v>
      </c>
      <c r="E220" s="365">
        <v>0</v>
      </c>
      <c r="F220" s="331">
        <f t="shared" si="1"/>
        <v>-16405.759999999998</v>
      </c>
      <c r="G220" s="65"/>
      <c r="I220" s="292"/>
      <c r="J220" s="78"/>
    </row>
    <row r="221" spans="1:12">
      <c r="A221" s="338">
        <v>2039</v>
      </c>
      <c r="B221" s="332" t="s">
        <v>751</v>
      </c>
      <c r="C221" s="310">
        <v>-100564.81</v>
      </c>
      <c r="D221" s="310">
        <v>0</v>
      </c>
      <c r="E221" s="365">
        <v>-32663.919999999998</v>
      </c>
      <c r="F221" s="331">
        <f t="shared" si="1"/>
        <v>-133228.72999999998</v>
      </c>
      <c r="G221" s="65"/>
      <c r="I221" s="292"/>
      <c r="J221" s="78"/>
    </row>
    <row r="222" spans="1:12">
      <c r="A222" s="338">
        <v>2040</v>
      </c>
      <c r="B222" s="268" t="s">
        <v>528</v>
      </c>
      <c r="C222" s="310">
        <v>-541013.30000000005</v>
      </c>
      <c r="D222" s="310">
        <v>0</v>
      </c>
      <c r="E222" s="365">
        <v>0</v>
      </c>
      <c r="F222" s="331">
        <f t="shared" si="1"/>
        <v>-541013.30000000005</v>
      </c>
      <c r="G222" s="65"/>
      <c r="I222" s="292"/>
      <c r="J222" s="78"/>
    </row>
    <row r="223" spans="1:12">
      <c r="A223" s="338">
        <v>2041</v>
      </c>
      <c r="B223" s="268" t="s">
        <v>126</v>
      </c>
      <c r="C223" s="310">
        <v>-96296.55</v>
      </c>
      <c r="D223" s="310">
        <v>0</v>
      </c>
      <c r="E223" s="365">
        <v>0</v>
      </c>
      <c r="F223" s="331">
        <f t="shared" si="1"/>
        <v>-96296.55</v>
      </c>
      <c r="G223" s="65"/>
      <c r="I223" s="292"/>
      <c r="J223" s="78"/>
    </row>
    <row r="224" spans="1:12">
      <c r="A224" s="338">
        <v>2042</v>
      </c>
      <c r="B224" s="268" t="s">
        <v>893</v>
      </c>
      <c r="C224" s="310">
        <v>-21836</v>
      </c>
      <c r="D224" s="310">
        <v>0</v>
      </c>
      <c r="E224" s="366">
        <v>8430.7800000000007</v>
      </c>
      <c r="F224" s="331">
        <f t="shared" si="1"/>
        <v>-13405.22</v>
      </c>
      <c r="G224" s="65"/>
      <c r="I224" s="292"/>
      <c r="J224" s="78"/>
    </row>
    <row r="225" spans="1:10">
      <c r="A225" s="338">
        <v>2044</v>
      </c>
      <c r="B225" s="268" t="s">
        <v>997</v>
      </c>
      <c r="C225" s="310">
        <v>0</v>
      </c>
      <c r="D225" s="310">
        <v>0</v>
      </c>
      <c r="E225" s="366">
        <v>-4600</v>
      </c>
      <c r="F225" s="331">
        <f t="shared" si="1"/>
        <v>-4600</v>
      </c>
      <c r="G225" s="65"/>
      <c r="I225" s="292"/>
      <c r="J225" s="78"/>
    </row>
    <row r="226" spans="1:10">
      <c r="A226" s="338">
        <v>2045</v>
      </c>
      <c r="B226" s="268" t="s">
        <v>128</v>
      </c>
      <c r="C226" s="310">
        <v>36399.700000000004</v>
      </c>
      <c r="D226" s="310">
        <v>0</v>
      </c>
      <c r="E226" s="366">
        <v>0</v>
      </c>
      <c r="F226" s="331">
        <f t="shared" si="1"/>
        <v>36399.700000000004</v>
      </c>
      <c r="G226" s="65"/>
      <c r="I226" s="292"/>
      <c r="J226" s="78"/>
    </row>
    <row r="227" spans="1:10">
      <c r="A227" s="338"/>
      <c r="B227" s="268" t="s">
        <v>752</v>
      </c>
      <c r="C227" s="310">
        <v>94205</v>
      </c>
      <c r="D227" s="310">
        <v>0</v>
      </c>
      <c r="E227" s="366">
        <v>0</v>
      </c>
      <c r="F227" s="331">
        <f t="shared" si="1"/>
        <v>94205</v>
      </c>
      <c r="G227" s="65"/>
      <c r="I227" s="292"/>
      <c r="J227" s="78"/>
    </row>
    <row r="228" spans="1:10">
      <c r="A228" s="338">
        <v>2047</v>
      </c>
      <c r="B228" s="268" t="s">
        <v>925</v>
      </c>
      <c r="C228" s="310">
        <v>-34178.75</v>
      </c>
      <c r="D228" s="310">
        <v>0</v>
      </c>
      <c r="E228" s="366">
        <v>-22644.63</v>
      </c>
      <c r="F228" s="331">
        <f t="shared" si="1"/>
        <v>-56823.380000000005</v>
      </c>
      <c r="G228" s="65"/>
      <c r="I228" s="292"/>
      <c r="J228" s="78"/>
    </row>
    <row r="229" spans="1:10">
      <c r="A229" s="338">
        <v>2048</v>
      </c>
      <c r="B229" s="268" t="s">
        <v>926</v>
      </c>
      <c r="C229" s="310">
        <v>-60979.83</v>
      </c>
      <c r="D229" s="310">
        <v>0</v>
      </c>
      <c r="E229" s="366">
        <v>-10611.99</v>
      </c>
      <c r="F229" s="331">
        <f t="shared" si="1"/>
        <v>-71591.820000000007</v>
      </c>
      <c r="G229" s="65"/>
      <c r="I229" s="292"/>
      <c r="J229" s="78"/>
    </row>
    <row r="230" spans="1:10">
      <c r="A230" s="338">
        <v>2050</v>
      </c>
      <c r="B230" s="268" t="s">
        <v>694</v>
      </c>
      <c r="C230" s="310">
        <v>88375.69</v>
      </c>
      <c r="D230" s="310">
        <v>0</v>
      </c>
      <c r="E230" s="366">
        <v>581</v>
      </c>
      <c r="F230" s="331">
        <f t="shared" si="1"/>
        <v>88956.69</v>
      </c>
      <c r="G230" s="65"/>
      <c r="I230" s="292"/>
      <c r="J230" s="78"/>
    </row>
    <row r="231" spans="1:10">
      <c r="A231" s="338">
        <v>2051</v>
      </c>
      <c r="B231" s="332" t="s">
        <v>961</v>
      </c>
      <c r="C231" s="310">
        <v>-62681.25</v>
      </c>
      <c r="D231" s="310">
        <v>0</v>
      </c>
      <c r="E231" s="366">
        <v>94683.89</v>
      </c>
      <c r="F231" s="331">
        <f t="shared" si="1"/>
        <v>32002.639999999999</v>
      </c>
      <c r="G231" s="65"/>
      <c r="I231" s="292"/>
      <c r="J231" s="78"/>
    </row>
    <row r="232" spans="1:10">
      <c r="A232" s="338">
        <v>2055</v>
      </c>
      <c r="B232" s="268" t="s">
        <v>574</v>
      </c>
      <c r="C232" s="310">
        <v>-432792.79999999993</v>
      </c>
      <c r="D232" s="310">
        <v>0</v>
      </c>
      <c r="E232" s="366">
        <v>-1278436.32</v>
      </c>
      <c r="F232" s="331">
        <f t="shared" si="1"/>
        <v>-1711229.12</v>
      </c>
      <c r="G232" s="65"/>
      <c r="I232" s="292"/>
      <c r="J232" s="78"/>
    </row>
    <row r="233" spans="1:10">
      <c r="A233" s="338">
        <v>2070</v>
      </c>
      <c r="B233" s="268" t="s">
        <v>134</v>
      </c>
      <c r="C233" s="310">
        <v>-11142235.780000001</v>
      </c>
      <c r="D233" s="310">
        <v>0</v>
      </c>
      <c r="E233" s="366">
        <v>437867.4</v>
      </c>
      <c r="F233" s="331">
        <f t="shared" si="1"/>
        <v>-10704368.380000001</v>
      </c>
      <c r="G233" s="65"/>
      <c r="I233" s="292"/>
      <c r="J233" s="78"/>
    </row>
    <row r="234" spans="1:10">
      <c r="A234" s="338">
        <v>2080</v>
      </c>
      <c r="B234" s="268" t="s">
        <v>136</v>
      </c>
      <c r="C234" s="310">
        <v>-725889.04</v>
      </c>
      <c r="D234" s="310">
        <v>0</v>
      </c>
      <c r="E234" s="366">
        <v>267104.17</v>
      </c>
      <c r="F234" s="331">
        <f t="shared" si="1"/>
        <v>-458784.87000000005</v>
      </c>
      <c r="G234" s="65"/>
      <c r="I234" s="292"/>
      <c r="J234" s="78"/>
    </row>
    <row r="235" spans="1:10">
      <c r="A235" s="338">
        <v>2090</v>
      </c>
      <c r="B235" s="268" t="s">
        <v>695</v>
      </c>
      <c r="C235" s="310">
        <v>142044.94</v>
      </c>
      <c r="D235" s="310">
        <v>0</v>
      </c>
      <c r="E235" s="366">
        <v>97182.399999999994</v>
      </c>
      <c r="F235" s="331">
        <f t="shared" si="1"/>
        <v>239227.34</v>
      </c>
      <c r="G235" s="65"/>
      <c r="I235" s="292"/>
      <c r="J235" s="78"/>
    </row>
    <row r="236" spans="1:10" ht="13.8" thickBot="1">
      <c r="A236" s="339"/>
      <c r="B236" s="333" t="s">
        <v>759</v>
      </c>
      <c r="C236" s="334">
        <f>SUM(C185:C235)</f>
        <v>-15856280.58</v>
      </c>
      <c r="D236" s="334">
        <f t="shared" ref="D236:E236" si="2">SUM(D185:D235)</f>
        <v>0</v>
      </c>
      <c r="E236" s="334">
        <f t="shared" si="2"/>
        <v>-160712.72999999995</v>
      </c>
      <c r="F236" s="335">
        <f>SUM(F185:F235)</f>
        <v>-16016993.310000001</v>
      </c>
      <c r="G236" s="65"/>
      <c r="I236" s="292"/>
    </row>
    <row r="237" spans="1:10">
      <c r="A237" s="65"/>
      <c r="B237" s="65"/>
      <c r="C237" s="156"/>
      <c r="D237" s="156"/>
      <c r="E237" s="156"/>
      <c r="F237" s="156"/>
      <c r="G237" s="65"/>
    </row>
    <row r="238" spans="1:10">
      <c r="A238" s="65"/>
      <c r="B238" s="65"/>
      <c r="C238" s="156"/>
      <c r="D238" s="156"/>
      <c r="E238" s="156"/>
      <c r="F238" s="156"/>
      <c r="G238" s="65"/>
    </row>
    <row r="239" spans="1:10">
      <c r="A239" s="157" t="s">
        <v>479</v>
      </c>
      <c r="B239" s="312" t="s">
        <v>482</v>
      </c>
      <c r="C239" s="156"/>
      <c r="D239" s="156"/>
      <c r="E239" s="156"/>
      <c r="F239" s="156"/>
      <c r="G239" s="65"/>
    </row>
    <row r="240" spans="1:10" s="65" customFormat="1">
      <c r="B240" s="76" t="s">
        <v>999</v>
      </c>
      <c r="C240" s="156"/>
      <c r="D240" s="156"/>
      <c r="E240" s="156"/>
      <c r="F240" s="156"/>
    </row>
    <row r="241" spans="1:7">
      <c r="A241" s="65"/>
      <c r="B241" s="65"/>
      <c r="C241" s="156"/>
      <c r="D241" s="156"/>
      <c r="E241" s="156"/>
      <c r="F241" s="156"/>
      <c r="G241" s="65"/>
    </row>
    <row r="242" spans="1:7">
      <c r="A242" s="157" t="s">
        <v>374</v>
      </c>
      <c r="B242" s="157" t="s">
        <v>374</v>
      </c>
      <c r="C242" s="156"/>
      <c r="D242" s="156"/>
      <c r="E242" s="156"/>
      <c r="F242" s="156"/>
      <c r="G242" s="65"/>
    </row>
    <row r="243" spans="1:7">
      <c r="A243" s="157"/>
      <c r="B243" s="157"/>
      <c r="C243" s="156"/>
      <c r="D243" s="156"/>
      <c r="E243" s="156"/>
      <c r="F243" s="156"/>
      <c r="G243" s="65"/>
    </row>
    <row r="244" spans="1:7">
      <c r="A244" s="65"/>
      <c r="B244" s="146"/>
      <c r="C244" s="156"/>
      <c r="D244" s="156"/>
      <c r="E244" s="156"/>
      <c r="F244" s="156"/>
      <c r="G244" s="65"/>
    </row>
    <row r="245" spans="1:7">
      <c r="A245" s="65"/>
      <c r="B245" s="146"/>
      <c r="C245" s="156"/>
      <c r="D245" s="156"/>
      <c r="E245" s="156"/>
      <c r="F245" s="156"/>
      <c r="G245" s="65"/>
    </row>
    <row r="246" spans="1:7">
      <c r="A246" s="65"/>
      <c r="B246" s="146"/>
      <c r="C246" s="156"/>
      <c r="D246" s="156"/>
      <c r="E246" s="156"/>
      <c r="F246" s="156"/>
      <c r="G246" s="65"/>
    </row>
    <row r="247" spans="1:7">
      <c r="B247" s="149"/>
    </row>
    <row r="248" spans="1:7">
      <c r="B248" s="149"/>
    </row>
    <row r="249" spans="1:7">
      <c r="B249" s="149"/>
    </row>
    <row r="250" spans="1:7">
      <c r="B250" s="149"/>
    </row>
  </sheetData>
  <mergeCells count="7">
    <mergeCell ref="D145:D146"/>
    <mergeCell ref="F183:F184"/>
    <mergeCell ref="A183:A184"/>
    <mergeCell ref="B183:B184"/>
    <mergeCell ref="C183:C184"/>
    <mergeCell ref="D183:D184"/>
    <mergeCell ref="E183:E184"/>
  </mergeCells>
  <phoneticPr fontId="29" type="noConversion"/>
  <pageMargins left="0.7" right="0.7" top="0.75" bottom="0.75" header="0.3" footer="0.3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AF6D-C7C4-4191-A733-111AE15F386F}">
  <dimension ref="A1:AB274"/>
  <sheetViews>
    <sheetView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B5" sqref="B5"/>
    </sheetView>
  </sheetViews>
  <sheetFormatPr baseColWidth="10" defaultColWidth="11.5546875" defaultRowHeight="13.2"/>
  <cols>
    <col min="2" max="2" width="56.33203125" bestFit="1" customWidth="1"/>
    <col min="3" max="3" width="13.33203125" style="23" bestFit="1" customWidth="1"/>
    <col min="4" max="5" width="13.33203125" bestFit="1" customWidth="1"/>
    <col min="6" max="6" width="15.5546875" style="131" bestFit="1" customWidth="1"/>
    <col min="7" max="7" width="13.44140625" style="131" bestFit="1" customWidth="1"/>
    <col min="8" max="9" width="13.33203125" bestFit="1" customWidth="1"/>
    <col min="10" max="10" width="13.109375" customWidth="1"/>
    <col min="11" max="11" width="13.33203125" bestFit="1" customWidth="1"/>
  </cols>
  <sheetData>
    <row r="1" spans="1:28" ht="21" customHeight="1">
      <c r="A1" s="208" t="s">
        <v>938</v>
      </c>
      <c r="B1" s="209"/>
      <c r="C1" s="369" t="s">
        <v>930</v>
      </c>
      <c r="D1" s="370"/>
      <c r="E1" s="371"/>
      <c r="F1" s="372" t="s">
        <v>896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72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10645348.75</v>
      </c>
      <c r="D5" s="206"/>
      <c r="E5" s="214"/>
      <c r="F5" s="241">
        <v>0</v>
      </c>
      <c r="G5" s="206"/>
      <c r="H5" s="214"/>
      <c r="I5" s="1">
        <f t="shared" si="0"/>
        <v>10645348.75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11933138.75</v>
      </c>
      <c r="E6" s="214"/>
      <c r="F6" s="241">
        <v>0</v>
      </c>
      <c r="G6" s="206">
        <f>SUM(F4:F6)</f>
        <v>1287790</v>
      </c>
      <c r="H6" s="214"/>
      <c r="I6" s="1">
        <f t="shared" si="0"/>
        <v>0</v>
      </c>
      <c r="J6" s="1">
        <f t="shared" si="0"/>
        <v>10645348.75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218749.85</v>
      </c>
      <c r="D7" s="206"/>
      <c r="E7" s="214"/>
      <c r="F7" s="242">
        <v>284374.93</v>
      </c>
      <c r="G7" s="206"/>
      <c r="H7" s="214"/>
      <c r="I7" s="1">
        <f t="shared" si="0"/>
        <v>-65625.079999999987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1250</v>
      </c>
      <c r="B8" s="213" t="s">
        <v>14</v>
      </c>
      <c r="C8" s="242">
        <v>288333.68</v>
      </c>
      <c r="D8" s="206"/>
      <c r="E8" s="214"/>
      <c r="F8" s="242">
        <f>-0.17+0.17</f>
        <v>0</v>
      </c>
      <c r="G8" s="206"/>
      <c r="H8" s="214"/>
      <c r="I8" s="1">
        <f t="shared" si="0"/>
        <v>288333.68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1251</v>
      </c>
      <c r="B9" s="213" t="s">
        <v>688</v>
      </c>
      <c r="C9" s="242">
        <v>0</v>
      </c>
      <c r="D9" s="206"/>
      <c r="E9" s="214"/>
      <c r="F9" s="242">
        <v>3997</v>
      </c>
      <c r="G9" s="206"/>
      <c r="H9" s="214"/>
      <c r="I9" s="1">
        <f t="shared" si="0"/>
        <v>-3997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1252</v>
      </c>
      <c r="B10" s="213" t="s">
        <v>689</v>
      </c>
      <c r="C10" s="242">
        <v>0</v>
      </c>
      <c r="D10" s="206"/>
      <c r="E10" s="214"/>
      <c r="F10" s="242">
        <v>18559</v>
      </c>
      <c r="G10" s="206"/>
      <c r="H10" s="214"/>
      <c r="I10" s="1">
        <f t="shared" si="0"/>
        <v>-18559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1253</v>
      </c>
      <c r="B11" s="213" t="s">
        <v>690</v>
      </c>
      <c r="C11" s="242">
        <v>0</v>
      </c>
      <c r="D11" s="232"/>
      <c r="E11" s="214">
        <f>SUM(D3:D11)</f>
        <v>11933138.75</v>
      </c>
      <c r="F11" s="242">
        <v>12500</v>
      </c>
      <c r="G11" s="232"/>
      <c r="H11" s="214">
        <f>SUM(G3:G11)</f>
        <v>1287790</v>
      </c>
      <c r="I11" s="1">
        <f t="shared" si="0"/>
        <v>-12500</v>
      </c>
      <c r="J11" s="1">
        <f t="shared" si="0"/>
        <v>0</v>
      </c>
      <c r="K11" s="1">
        <f t="shared" si="0"/>
        <v>10645348.75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1254</v>
      </c>
      <c r="B12" s="213" t="s">
        <v>864</v>
      </c>
      <c r="C12" s="242">
        <v>25791.43</v>
      </c>
      <c r="D12" s="232"/>
      <c r="E12" s="214"/>
      <c r="F12" s="242">
        <v>34388.58</v>
      </c>
      <c r="G12" s="232"/>
      <c r="H12" s="214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1255</v>
      </c>
      <c r="B13" s="213" t="s">
        <v>898</v>
      </c>
      <c r="C13" s="242">
        <v>115128.82</v>
      </c>
      <c r="D13" s="232"/>
      <c r="E13" s="214"/>
      <c r="F13" s="242">
        <v>150553.07</v>
      </c>
      <c r="G13" s="232"/>
      <c r="H13" s="214"/>
      <c r="I13" s="1">
        <f t="shared" si="0"/>
        <v>-35424.25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1280</v>
      </c>
      <c r="B14" s="213" t="s">
        <v>828</v>
      </c>
      <c r="C14" s="242">
        <v>0</v>
      </c>
      <c r="D14" s="225">
        <f>SUM(C7:C14)</f>
        <v>648003.78</v>
      </c>
      <c r="E14" s="214"/>
      <c r="F14" s="242">
        <v>13803</v>
      </c>
      <c r="G14" s="225">
        <f>SUM(F7:F14)</f>
        <v>518175.58</v>
      </c>
      <c r="H14" s="214"/>
      <c r="I14" s="1">
        <f t="shared" si="0"/>
        <v>-13803</v>
      </c>
      <c r="J14" s="1">
        <f t="shared" si="0"/>
        <v>129828.20000000001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1465</v>
      </c>
      <c r="B15" s="213" t="s">
        <v>18</v>
      </c>
      <c r="C15" s="241">
        <v>130242.38</v>
      </c>
      <c r="D15" s="206">
        <f>C15</f>
        <v>130242.38</v>
      </c>
      <c r="E15" s="214"/>
      <c r="F15" s="241">
        <v>115377.5</v>
      </c>
      <c r="G15" s="206">
        <f>F15</f>
        <v>115377.5</v>
      </c>
      <c r="H15" s="214"/>
      <c r="I15" s="1">
        <f t="shared" si="0"/>
        <v>14864.880000000005</v>
      </c>
      <c r="J15" s="1">
        <f t="shared" si="0"/>
        <v>14864.880000000005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350">
        <v>1480</v>
      </c>
      <c r="B16" s="349" t="s">
        <v>762</v>
      </c>
      <c r="C16" s="243">
        <v>0</v>
      </c>
      <c r="D16" s="206"/>
      <c r="E16" s="214"/>
      <c r="F16" s="241">
        <v>0</v>
      </c>
      <c r="G16" s="206"/>
      <c r="H16" s="214"/>
      <c r="I16" s="1">
        <f t="shared" si="0"/>
        <v>0</v>
      </c>
      <c r="J16" s="1">
        <f t="shared" si="0"/>
        <v>0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1500</v>
      </c>
      <c r="B17" s="213" t="s">
        <v>552</v>
      </c>
      <c r="C17" s="243">
        <v>0</v>
      </c>
      <c r="D17" s="206"/>
      <c r="E17" s="214"/>
      <c r="F17" s="243">
        <v>27950</v>
      </c>
      <c r="G17" s="226"/>
      <c r="H17" s="214"/>
      <c r="I17" s="1">
        <f t="shared" si="0"/>
        <v>-27950</v>
      </c>
      <c r="J17" s="1">
        <f t="shared" si="0"/>
        <v>0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1579</v>
      </c>
      <c r="B18" s="213" t="s">
        <v>26</v>
      </c>
      <c r="C18" s="243">
        <v>56318.69</v>
      </c>
      <c r="D18" s="206"/>
      <c r="E18" s="214"/>
      <c r="F18" s="243">
        <v>0</v>
      </c>
      <c r="G18" s="226"/>
      <c r="H18" s="214"/>
      <c r="I18" s="1">
        <f t="shared" si="0"/>
        <v>56318.69</v>
      </c>
      <c r="J18" s="1">
        <f t="shared" si="0"/>
        <v>0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1580</v>
      </c>
      <c r="B19" s="213" t="s">
        <v>553</v>
      </c>
      <c r="C19" s="243">
        <v>0</v>
      </c>
      <c r="D19" s="227">
        <f>SUM(C16:C19)</f>
        <v>56318.69</v>
      </c>
      <c r="E19" s="214"/>
      <c r="F19" s="243">
        <v>-27950</v>
      </c>
      <c r="G19" s="227">
        <f>SUM(F16:F19)</f>
        <v>0</v>
      </c>
      <c r="H19" s="214"/>
      <c r="I19" s="1">
        <f t="shared" si="0"/>
        <v>27950</v>
      </c>
      <c r="J19" s="1">
        <f t="shared" si="0"/>
        <v>56318.69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1530</v>
      </c>
      <c r="B20" s="213" t="s">
        <v>554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1571</v>
      </c>
      <c r="B21" s="213" t="s">
        <v>691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1572</v>
      </c>
      <c r="B22" s="213" t="s">
        <v>829</v>
      </c>
      <c r="C22" s="244">
        <v>0</v>
      </c>
      <c r="D22" s="206"/>
      <c r="E22" s="214"/>
      <c r="F22" s="244">
        <v>0</v>
      </c>
      <c r="G22" s="206"/>
      <c r="H22" s="214"/>
      <c r="I22" s="1">
        <f t="shared" si="0"/>
        <v>0</v>
      </c>
      <c r="J22" s="1">
        <f t="shared" si="0"/>
        <v>0</v>
      </c>
      <c r="K22" s="1">
        <f t="shared" si="0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1590</v>
      </c>
      <c r="B23" s="213" t="s">
        <v>967</v>
      </c>
      <c r="C23" s="244">
        <v>0</v>
      </c>
      <c r="D23" s="206"/>
      <c r="E23" s="214"/>
      <c r="F23" s="244">
        <v>9757856</v>
      </c>
      <c r="G23" s="206"/>
      <c r="H23" s="214"/>
      <c r="I23" s="1">
        <f t="shared" si="0"/>
        <v>-9757856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1700</v>
      </c>
      <c r="B24" s="213" t="s">
        <v>32</v>
      </c>
      <c r="C24" s="244">
        <v>0</v>
      </c>
      <c r="D24" s="206"/>
      <c r="E24" s="214"/>
      <c r="F24" s="244">
        <v>0</v>
      </c>
      <c r="G24" s="206"/>
      <c r="H24" s="214"/>
      <c r="I24" s="1">
        <f t="shared" si="0"/>
        <v>0</v>
      </c>
      <c r="J24" s="1">
        <f t="shared" si="0"/>
        <v>0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1720</v>
      </c>
      <c r="B25" s="213" t="s">
        <v>692</v>
      </c>
      <c r="C25" s="244">
        <v>0</v>
      </c>
      <c r="D25" s="206"/>
      <c r="E25" s="214"/>
      <c r="F25" s="244">
        <v>0</v>
      </c>
      <c r="G25" s="206"/>
      <c r="H25" s="214"/>
      <c r="I25" s="1">
        <f t="shared" si="0"/>
        <v>0</v>
      </c>
      <c r="J25" s="1">
        <f t="shared" si="0"/>
        <v>0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1749</v>
      </c>
      <c r="B26" s="213" t="s">
        <v>556</v>
      </c>
      <c r="C26" s="244">
        <v>29054.15</v>
      </c>
      <c r="D26" s="228">
        <f>SUM(C20:C26)</f>
        <v>29054.15</v>
      </c>
      <c r="E26" s="214"/>
      <c r="F26" s="244">
        <v>159198.54</v>
      </c>
      <c r="G26" s="228">
        <f>SUM(F20:F26)</f>
        <v>9917054.5399999991</v>
      </c>
      <c r="H26" s="214"/>
      <c r="I26" s="1">
        <f t="shared" si="0"/>
        <v>-130144.39000000001</v>
      </c>
      <c r="J26" s="1">
        <f t="shared" si="0"/>
        <v>-9888000.3899999987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1910</v>
      </c>
      <c r="B27" s="213" t="s">
        <v>36</v>
      </c>
      <c r="C27" s="241">
        <v>8060.5</v>
      </c>
      <c r="D27" s="206"/>
      <c r="E27" s="214"/>
      <c r="F27" s="241">
        <v>8060.5</v>
      </c>
      <c r="G27" s="206"/>
      <c r="H27" s="214"/>
      <c r="I27" s="1">
        <f t="shared" si="0"/>
        <v>0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1920</v>
      </c>
      <c r="B28" s="213" t="s">
        <v>557</v>
      </c>
      <c r="C28" s="241">
        <v>3866353.36</v>
      </c>
      <c r="D28" s="206"/>
      <c r="E28" s="214"/>
      <c r="F28" s="241">
        <v>3735768.15</v>
      </c>
      <c r="G28" s="206"/>
      <c r="H28" s="214"/>
      <c r="I28" s="1">
        <f t="shared" si="0"/>
        <v>130585.20999999996</v>
      </c>
      <c r="J28" s="1">
        <f t="shared" si="0"/>
        <v>0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>
      <c r="A29" s="212">
        <v>1921</v>
      </c>
      <c r="B29" s="213" t="s">
        <v>693</v>
      </c>
      <c r="C29" s="241">
        <v>4048.84</v>
      </c>
      <c r="D29" s="206"/>
      <c r="E29" s="214"/>
      <c r="F29" s="241">
        <v>4047.9</v>
      </c>
      <c r="G29" s="206"/>
      <c r="H29" s="214"/>
      <c r="I29" s="1">
        <f t="shared" si="0"/>
        <v>0.94000000000005457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1523</v>
      </c>
      <c r="B30" s="213" t="s">
        <v>830</v>
      </c>
      <c r="C30" s="241">
        <v>504057.16</v>
      </c>
      <c r="D30" s="206"/>
      <c r="E30" s="214"/>
      <c r="F30" s="241">
        <v>502100.2</v>
      </c>
      <c r="G30" s="206"/>
      <c r="H30" s="214"/>
      <c r="I30" s="1">
        <f t="shared" si="0"/>
        <v>1956.9599999999627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14.4">
      <c r="A31" s="215">
        <v>1922</v>
      </c>
      <c r="B31" s="216" t="s">
        <v>763</v>
      </c>
      <c r="C31" s="241">
        <v>4511.37</v>
      </c>
      <c r="D31" s="206"/>
      <c r="E31" s="214"/>
      <c r="F31" s="241">
        <v>4510.32</v>
      </c>
      <c r="G31" s="206"/>
      <c r="H31" s="214"/>
      <c r="I31" s="1">
        <f t="shared" si="0"/>
        <v>1.0500000000001819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1930</v>
      </c>
      <c r="B32" s="213" t="s">
        <v>558</v>
      </c>
      <c r="C32" s="241">
        <v>0</v>
      </c>
      <c r="D32" s="206"/>
      <c r="E32" s="214"/>
      <c r="F32" s="241">
        <v>0</v>
      </c>
      <c r="G32" s="206"/>
      <c r="H32" s="214"/>
      <c r="I32" s="1">
        <f t="shared" si="0"/>
        <v>0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1931</v>
      </c>
      <c r="B33" s="213" t="s">
        <v>559</v>
      </c>
      <c r="C33" s="241">
        <v>0</v>
      </c>
      <c r="D33" s="206"/>
      <c r="E33" s="214"/>
      <c r="F33" s="241">
        <v>0</v>
      </c>
      <c r="G33" s="206"/>
      <c r="H33" s="214"/>
      <c r="I33" s="1">
        <f t="shared" si="0"/>
        <v>0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1932</v>
      </c>
      <c r="B34" s="213" t="s">
        <v>831</v>
      </c>
      <c r="C34" s="241">
        <v>218041.96</v>
      </c>
      <c r="D34" s="206"/>
      <c r="E34" s="214"/>
      <c r="F34" s="241">
        <v>217991.33</v>
      </c>
      <c r="G34" s="206"/>
      <c r="H34" s="214"/>
      <c r="I34" s="1">
        <f t="shared" si="0"/>
        <v>50.630000000004657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1936</v>
      </c>
      <c r="B35" s="213" t="s">
        <v>560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1938</v>
      </c>
      <c r="B36" s="213" t="s">
        <v>44</v>
      </c>
      <c r="C36" s="241">
        <v>0</v>
      </c>
      <c r="D36" s="206"/>
      <c r="E36" s="214"/>
      <c r="F36" s="241">
        <v>0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1940</v>
      </c>
      <c r="B37" s="213" t="s">
        <v>561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1945</v>
      </c>
      <c r="B38" s="213" t="s">
        <v>48</v>
      </c>
      <c r="C38" s="241">
        <v>0</v>
      </c>
      <c r="D38" s="206"/>
      <c r="E38" s="214"/>
      <c r="F38" s="241">
        <v>0</v>
      </c>
      <c r="G38" s="206"/>
      <c r="H38" s="214"/>
      <c r="I38" s="1">
        <f t="shared" si="0"/>
        <v>0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1946</v>
      </c>
      <c r="B39" s="213" t="s">
        <v>50</v>
      </c>
      <c r="C39" s="241">
        <v>0</v>
      </c>
      <c r="D39" s="206"/>
      <c r="E39" s="214"/>
      <c r="F39" s="241">
        <v>0</v>
      </c>
      <c r="G39" s="206"/>
      <c r="H39" s="214"/>
      <c r="I39" s="1">
        <f t="shared" si="0"/>
        <v>0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1950</v>
      </c>
      <c r="B40" s="213" t="s">
        <v>562</v>
      </c>
      <c r="C40" s="241">
        <v>14988.18</v>
      </c>
      <c r="D40" s="206"/>
      <c r="E40" s="214"/>
      <c r="F40" s="241">
        <v>9434.18</v>
      </c>
      <c r="G40" s="206"/>
      <c r="H40" s="214"/>
      <c r="I40" s="1">
        <f t="shared" si="0"/>
        <v>5554</v>
      </c>
      <c r="J40" s="1">
        <f t="shared" si="0"/>
        <v>0</v>
      </c>
      <c r="K40" s="1">
        <f t="shared" si="0"/>
        <v>0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>
        <v>1952</v>
      </c>
      <c r="B41" s="213" t="s">
        <v>563</v>
      </c>
      <c r="C41" s="241">
        <v>0</v>
      </c>
      <c r="D41" s="206"/>
      <c r="E41" s="214"/>
      <c r="F41" s="241">
        <v>0</v>
      </c>
      <c r="G41" s="206"/>
      <c r="H41" s="214"/>
      <c r="I41" s="1">
        <f t="shared" si="0"/>
        <v>0</v>
      </c>
      <c r="J41" s="1">
        <f t="shared" si="0"/>
        <v>0</v>
      </c>
      <c r="K41" s="1">
        <f t="shared" si="0"/>
        <v>0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>
        <v>1962</v>
      </c>
      <c r="B42" s="213" t="s">
        <v>564</v>
      </c>
      <c r="C42" s="260">
        <v>0</v>
      </c>
      <c r="D42" s="207">
        <f>SUM(C27:C42)</f>
        <v>4620061.3699999992</v>
      </c>
      <c r="E42" s="259">
        <f>SUM(D15:D42)</f>
        <v>4835676.5899999989</v>
      </c>
      <c r="F42" s="260">
        <v>0</v>
      </c>
      <c r="G42" s="207">
        <f>SUM(F27:F42)</f>
        <v>4481912.58</v>
      </c>
      <c r="H42" s="259">
        <f>SUM(G15:G42)</f>
        <v>14514344.619999999</v>
      </c>
      <c r="I42" s="1">
        <f t="shared" si="0"/>
        <v>0</v>
      </c>
      <c r="J42" s="1">
        <f t="shared" si="0"/>
        <v>138148.78999999911</v>
      </c>
      <c r="K42" s="1">
        <f t="shared" si="0"/>
        <v>-9678668.0300000012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/>
      <c r="B43" s="218" t="s">
        <v>819</v>
      </c>
      <c r="C43" s="241">
        <f>SUM(C3:C42)</f>
        <v>17416819.120000001</v>
      </c>
      <c r="D43" s="206"/>
      <c r="E43" s="214">
        <f>SUM(E11:E42)</f>
        <v>16768815.34</v>
      </c>
      <c r="F43" s="241">
        <f>SUM(F3:F42)</f>
        <v>16320310.199999999</v>
      </c>
      <c r="G43" s="206"/>
      <c r="H43" s="214">
        <f>SUM(H42,H11)</f>
        <v>15802134.619999999</v>
      </c>
      <c r="I43" s="1">
        <f t="shared" si="0"/>
        <v>1096508.9200000018</v>
      </c>
      <c r="J43" s="1">
        <f t="shared" si="0"/>
        <v>0</v>
      </c>
      <c r="K43" s="1">
        <f t="shared" si="0"/>
        <v>966680.72000000067</v>
      </c>
      <c r="L43" s="27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/>
      <c r="B44" s="213"/>
      <c r="C44" s="241" t="s">
        <v>374</v>
      </c>
      <c r="D44" s="206"/>
      <c r="E44" s="214"/>
      <c r="F44" s="241"/>
      <c r="G44" s="206"/>
      <c r="H44" s="214"/>
      <c r="I44" s="1"/>
      <c r="K44" s="1">
        <f t="shared" si="0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2001</v>
      </c>
      <c r="B45" s="213" t="s">
        <v>566</v>
      </c>
      <c r="C45" s="242">
        <v>-41149.94</v>
      </c>
      <c r="D45" s="206"/>
      <c r="E45" s="214"/>
      <c r="F45" s="241">
        <v>-30686.45</v>
      </c>
      <c r="G45" s="206"/>
      <c r="H45" s="214"/>
      <c r="I45" s="1">
        <f t="shared" si="0"/>
        <v>-10463.490000000002</v>
      </c>
      <c r="J45" s="1">
        <f t="shared" si="0"/>
        <v>0</v>
      </c>
      <c r="K45" s="1">
        <f t="shared" si="0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2002</v>
      </c>
      <c r="B46" s="213" t="s">
        <v>58</v>
      </c>
      <c r="C46" s="242">
        <v>-26873.55</v>
      </c>
      <c r="D46" s="206"/>
      <c r="E46" s="214"/>
      <c r="F46" s="241">
        <v>-8679.6200000000008</v>
      </c>
      <c r="G46" s="206"/>
      <c r="H46" s="214"/>
      <c r="I46" s="1">
        <f t="shared" si="0"/>
        <v>-18193.93</v>
      </c>
      <c r="J46" s="1">
        <f t="shared" si="0"/>
        <v>0</v>
      </c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2003</v>
      </c>
      <c r="B47" s="213" t="s">
        <v>60</v>
      </c>
      <c r="C47" s="242">
        <v>-17229.84</v>
      </c>
      <c r="D47" s="206"/>
      <c r="E47" s="214"/>
      <c r="F47" s="241">
        <v>-44503.46</v>
      </c>
      <c r="G47" s="206"/>
      <c r="H47" s="214"/>
      <c r="I47" s="1">
        <f t="shared" si="0"/>
        <v>27273.62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2004</v>
      </c>
      <c r="B48" s="213" t="s">
        <v>62</v>
      </c>
      <c r="C48" s="242">
        <v>-56470.32</v>
      </c>
      <c r="D48" s="206"/>
      <c r="E48" s="214"/>
      <c r="F48" s="241">
        <v>-49364.33</v>
      </c>
      <c r="G48" s="206"/>
      <c r="H48" s="214"/>
      <c r="I48" s="1">
        <f t="shared" si="0"/>
        <v>-7105.989999999998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2005</v>
      </c>
      <c r="B49" s="213" t="s">
        <v>64</v>
      </c>
      <c r="C49" s="242">
        <v>15210.78</v>
      </c>
      <c r="D49" s="206"/>
      <c r="E49" s="214"/>
      <c r="F49" s="241">
        <v>15210.78</v>
      </c>
      <c r="G49" s="206"/>
      <c r="H49" s="214"/>
      <c r="I49" s="1">
        <f t="shared" si="0"/>
        <v>0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2006</v>
      </c>
      <c r="B50" s="213" t="s">
        <v>66</v>
      </c>
      <c r="C50" s="242">
        <v>-96702.54</v>
      </c>
      <c r="D50" s="206"/>
      <c r="E50" s="214"/>
      <c r="F50" s="241">
        <v>-96702.54</v>
      </c>
      <c r="G50" s="206"/>
      <c r="H50" s="214"/>
      <c r="I50" s="1">
        <f t="shared" si="0"/>
        <v>0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2007</v>
      </c>
      <c r="B51" s="213" t="s">
        <v>68</v>
      </c>
      <c r="C51" s="242">
        <v>-35109.1</v>
      </c>
      <c r="D51" s="206"/>
      <c r="E51" s="214"/>
      <c r="F51" s="241">
        <v>-34033.279999999999</v>
      </c>
      <c r="G51" s="206"/>
      <c r="H51" s="214"/>
      <c r="I51" s="1">
        <f t="shared" si="0"/>
        <v>-1075.8199999999997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2008</v>
      </c>
      <c r="B52" s="213" t="s">
        <v>70</v>
      </c>
      <c r="C52" s="242">
        <v>19459.95</v>
      </c>
      <c r="D52" s="206"/>
      <c r="E52" s="214"/>
      <c r="F52" s="241">
        <v>19459.95</v>
      </c>
      <c r="G52" s="206"/>
      <c r="H52" s="214"/>
      <c r="I52" s="1">
        <f t="shared" si="0"/>
        <v>0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2009</v>
      </c>
      <c r="B53" s="213" t="s">
        <v>567</v>
      </c>
      <c r="C53" s="242">
        <v>-166716.51999999999</v>
      </c>
      <c r="D53" s="206"/>
      <c r="E53" s="214"/>
      <c r="F53" s="241">
        <v>-104843.94</v>
      </c>
      <c r="G53" s="206"/>
      <c r="H53" s="214"/>
      <c r="I53" s="1">
        <f t="shared" si="0"/>
        <v>-61872.579999999987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2010</v>
      </c>
      <c r="B54" s="213" t="s">
        <v>74</v>
      </c>
      <c r="C54" s="242">
        <v>28281.37</v>
      </c>
      <c r="D54" s="206"/>
      <c r="E54" s="214"/>
      <c r="F54" s="241">
        <v>-18110.89</v>
      </c>
      <c r="G54" s="206"/>
      <c r="H54" s="214"/>
      <c r="I54" s="1">
        <f t="shared" si="0"/>
        <v>46392.259999999995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2011</v>
      </c>
      <c r="B55" s="213" t="s">
        <v>76</v>
      </c>
      <c r="C55" s="242">
        <v>-1752.38</v>
      </c>
      <c r="D55" s="206"/>
      <c r="E55" s="214"/>
      <c r="F55" s="241">
        <v>-9737.3799999999992</v>
      </c>
      <c r="G55" s="206"/>
      <c r="H55" s="214"/>
      <c r="I55" s="1">
        <f t="shared" si="0"/>
        <v>7984.9999999999991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2012</v>
      </c>
      <c r="B56" s="213" t="s">
        <v>78</v>
      </c>
      <c r="C56" s="242">
        <v>310726.34000000003</v>
      </c>
      <c r="D56" s="206"/>
      <c r="E56" s="214"/>
      <c r="F56" s="241">
        <v>228160.4</v>
      </c>
      <c r="G56" s="206"/>
      <c r="H56" s="214"/>
      <c r="I56" s="1">
        <f t="shared" si="0"/>
        <v>82565.940000000031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2013</v>
      </c>
      <c r="B57" s="213" t="s">
        <v>80</v>
      </c>
      <c r="C57" s="242">
        <v>1948.68</v>
      </c>
      <c r="D57" s="206"/>
      <c r="E57" s="214"/>
      <c r="F57" s="241">
        <v>21957.63</v>
      </c>
      <c r="G57" s="206"/>
      <c r="H57" s="214"/>
      <c r="I57" s="1">
        <f t="shared" si="0"/>
        <v>-20008.95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2014</v>
      </c>
      <c r="B58" s="213" t="s">
        <v>82</v>
      </c>
      <c r="C58" s="242">
        <v>-31500.29</v>
      </c>
      <c r="D58" s="206"/>
      <c r="E58" s="214"/>
      <c r="F58" s="241">
        <v>-26864.79</v>
      </c>
      <c r="G58" s="206"/>
      <c r="H58" s="214"/>
      <c r="I58" s="1">
        <f t="shared" si="0"/>
        <v>-4635.5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2015</v>
      </c>
      <c r="B59" s="213" t="s">
        <v>84</v>
      </c>
      <c r="C59" s="242">
        <v>-1342.65</v>
      </c>
      <c r="D59" s="206"/>
      <c r="E59" s="214"/>
      <c r="F59" s="241">
        <v>757.35</v>
      </c>
      <c r="G59" s="206"/>
      <c r="H59" s="214"/>
      <c r="I59" s="1">
        <f t="shared" si="0"/>
        <v>-2100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2016</v>
      </c>
      <c r="B60" s="213" t="s">
        <v>86</v>
      </c>
      <c r="C60" s="242">
        <v>-68381.039999999994</v>
      </c>
      <c r="D60" s="206"/>
      <c r="E60" s="214"/>
      <c r="F60" s="241">
        <v>-52127.73</v>
      </c>
      <c r="G60" s="206"/>
      <c r="H60" s="214"/>
      <c r="I60" s="1">
        <f t="shared" si="0"/>
        <v>-16253.30999999999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2017</v>
      </c>
      <c r="B61" s="213" t="s">
        <v>88</v>
      </c>
      <c r="C61" s="242">
        <v>-79748.33</v>
      </c>
      <c r="D61" s="206"/>
      <c r="E61" s="214"/>
      <c r="F61" s="241">
        <v>-2650.29</v>
      </c>
      <c r="G61" s="206"/>
      <c r="H61" s="214"/>
      <c r="I61" s="1">
        <f t="shared" si="0"/>
        <v>-77098.040000000008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2018</v>
      </c>
      <c r="B62" s="213" t="s">
        <v>90</v>
      </c>
      <c r="C62" s="242">
        <v>-35806.230000000003</v>
      </c>
      <c r="D62" s="206"/>
      <c r="E62" s="214"/>
      <c r="F62" s="241">
        <v>-57419.79</v>
      </c>
      <c r="G62" s="206"/>
      <c r="H62" s="214"/>
      <c r="I62" s="1">
        <f t="shared" si="0"/>
        <v>21613.559999999998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2019</v>
      </c>
      <c r="B63" s="213" t="s">
        <v>568</v>
      </c>
      <c r="C63" s="242">
        <v>-27759.01</v>
      </c>
      <c r="D63" s="206"/>
      <c r="E63" s="214"/>
      <c r="F63" s="241">
        <v>-24302.16</v>
      </c>
      <c r="G63" s="206"/>
      <c r="H63" s="214"/>
      <c r="I63" s="1">
        <f t="shared" si="0"/>
        <v>-3456.8499999999985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2020</v>
      </c>
      <c r="B64" s="213" t="s">
        <v>94</v>
      </c>
      <c r="C64" s="242">
        <v>-5352.23</v>
      </c>
      <c r="D64" s="206"/>
      <c r="E64" s="214"/>
      <c r="F64" s="241">
        <v>-5232.37</v>
      </c>
      <c r="G64" s="206"/>
      <c r="H64" s="214"/>
      <c r="I64" s="1">
        <f t="shared" si="0"/>
        <v>-119.85999999999967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2022</v>
      </c>
      <c r="B65" s="218" t="s">
        <v>923</v>
      </c>
      <c r="C65" s="242">
        <v>13394.2</v>
      </c>
      <c r="D65" s="206"/>
      <c r="E65" s="214"/>
      <c r="F65" s="241">
        <v>0</v>
      </c>
      <c r="G65" s="206"/>
      <c r="H65" s="214"/>
      <c r="I65" s="1">
        <f t="shared" si="0"/>
        <v>13394.2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2024</v>
      </c>
      <c r="B66" s="213" t="s">
        <v>96</v>
      </c>
      <c r="C66" s="242">
        <v>41510.53</v>
      </c>
      <c r="D66" s="206"/>
      <c r="E66" s="214"/>
      <c r="F66" s="241">
        <v>-74978.47</v>
      </c>
      <c r="G66" s="206"/>
      <c r="H66" s="214"/>
      <c r="I66" s="1">
        <f t="shared" si="0"/>
        <v>116489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2025</v>
      </c>
      <c r="B67" s="213" t="s">
        <v>98</v>
      </c>
      <c r="C67" s="242">
        <v>-1021.61</v>
      </c>
      <c r="D67" s="206"/>
      <c r="E67" s="214"/>
      <c r="F67" s="241">
        <v>-1021.61</v>
      </c>
      <c r="G67" s="206"/>
      <c r="H67" s="214"/>
      <c r="I67" s="1">
        <f t="shared" si="0"/>
        <v>0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2026</v>
      </c>
      <c r="B68" s="213" t="s">
        <v>100</v>
      </c>
      <c r="C68" s="242">
        <v>-13919.65</v>
      </c>
      <c r="D68" s="206"/>
      <c r="E68" s="214"/>
      <c r="F68" s="241">
        <v>-13919.65</v>
      </c>
      <c r="G68" s="206"/>
      <c r="H68" s="214"/>
      <c r="I68" s="1">
        <f t="shared" si="0"/>
        <v>0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2027</v>
      </c>
      <c r="B69" s="213" t="s">
        <v>102</v>
      </c>
      <c r="C69" s="242">
        <v>-100142.62</v>
      </c>
      <c r="D69" s="206"/>
      <c r="E69" s="214"/>
      <c r="F69" s="241">
        <v>-42033.88</v>
      </c>
      <c r="G69" s="206"/>
      <c r="H69" s="214"/>
      <c r="I69" s="1">
        <f t="shared" si="0"/>
        <v>-58108.74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2028</v>
      </c>
      <c r="B70" s="213" t="s">
        <v>569</v>
      </c>
      <c r="C70" s="242">
        <v>-13136.73</v>
      </c>
      <c r="D70" s="206"/>
      <c r="E70" s="214"/>
      <c r="F70" s="241">
        <v>-13136.73</v>
      </c>
      <c r="G70" s="206"/>
      <c r="H70" s="214"/>
      <c r="I70" s="1">
        <f t="shared" si="0"/>
        <v>0</v>
      </c>
      <c r="J70" s="1">
        <f t="shared" si="0"/>
        <v>0</v>
      </c>
      <c r="K70" s="1">
        <f t="shared" si="0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2029</v>
      </c>
      <c r="B71" s="213" t="s">
        <v>106</v>
      </c>
      <c r="C71" s="242">
        <v>-68353.600000000006</v>
      </c>
      <c r="D71" s="206"/>
      <c r="E71" s="214"/>
      <c r="F71" s="241">
        <v>-67233.37</v>
      </c>
      <c r="G71" s="206"/>
      <c r="H71" s="214"/>
      <c r="I71" s="1">
        <f t="shared" si="0"/>
        <v>-1120.2300000000105</v>
      </c>
      <c r="J71" s="1">
        <f t="shared" si="0"/>
        <v>0</v>
      </c>
      <c r="K71" s="1">
        <f t="shared" si="0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2030</v>
      </c>
      <c r="B72" s="213" t="s">
        <v>108</v>
      </c>
      <c r="C72" s="242">
        <v>-43298.93</v>
      </c>
      <c r="D72" s="206"/>
      <c r="E72" s="214"/>
      <c r="F72" s="241">
        <v>-52823.16</v>
      </c>
      <c r="G72" s="206"/>
      <c r="H72" s="214"/>
      <c r="I72" s="1">
        <f t="shared" si="0"/>
        <v>9524.2300000000032</v>
      </c>
      <c r="J72" s="1">
        <f t="shared" si="0"/>
        <v>0</v>
      </c>
      <c r="K72" s="1">
        <f t="shared" si="0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2031</v>
      </c>
      <c r="B73" s="213" t="s">
        <v>570</v>
      </c>
      <c r="C73" s="242">
        <v>-147168.07999999999</v>
      </c>
      <c r="D73" s="206"/>
      <c r="E73" s="214"/>
      <c r="F73" s="241">
        <v>-146117.9</v>
      </c>
      <c r="G73" s="206"/>
      <c r="H73" s="214"/>
      <c r="I73" s="1">
        <f t="shared" ref="I73:K114" si="1">C73-F73</f>
        <v>-1050.179999999993</v>
      </c>
      <c r="J73" s="1">
        <f t="shared" si="1"/>
        <v>0</v>
      </c>
      <c r="K73" s="1">
        <f t="shared" si="1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2032</v>
      </c>
      <c r="B74" s="213" t="s">
        <v>112</v>
      </c>
      <c r="C74" s="242">
        <v>-8626.34</v>
      </c>
      <c r="D74" s="206"/>
      <c r="E74" s="214"/>
      <c r="F74" s="241">
        <v>-6563.34</v>
      </c>
      <c r="G74" s="206"/>
      <c r="H74" s="214"/>
      <c r="I74" s="1">
        <f t="shared" si="1"/>
        <v>-2063</v>
      </c>
      <c r="J74" s="1">
        <f t="shared" si="1"/>
        <v>0</v>
      </c>
      <c r="K74" s="1">
        <f t="shared" si="1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2033</v>
      </c>
      <c r="B75" s="213" t="s">
        <v>899</v>
      </c>
      <c r="C75" s="242">
        <v>-274774.07</v>
      </c>
      <c r="D75" s="206"/>
      <c r="E75" s="214"/>
      <c r="F75" s="241">
        <v>-19351.310000000001</v>
      </c>
      <c r="G75" s="206"/>
      <c r="H75" s="214"/>
      <c r="I75" s="1">
        <f t="shared" si="1"/>
        <v>-255422.76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2034</v>
      </c>
      <c r="B76" s="213" t="s">
        <v>114</v>
      </c>
      <c r="C76" s="242">
        <v>-71390.210000000006</v>
      </c>
      <c r="D76" s="206"/>
      <c r="E76" s="214"/>
      <c r="F76" s="241">
        <v>-71967.429999999993</v>
      </c>
      <c r="G76" s="206"/>
      <c r="H76" s="214"/>
      <c r="I76" s="1">
        <f t="shared" si="1"/>
        <v>577.21999999998661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2035</v>
      </c>
      <c r="B77" s="213" t="s">
        <v>116</v>
      </c>
      <c r="C77" s="242">
        <v>-51237.29</v>
      </c>
      <c r="D77" s="206"/>
      <c r="E77" s="214"/>
      <c r="F77" s="241">
        <v>-105874.04</v>
      </c>
      <c r="G77" s="206"/>
      <c r="H77" s="214"/>
      <c r="I77" s="1">
        <f t="shared" si="1"/>
        <v>54636.749999999993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>
      <c r="A78" s="212">
        <v>2036</v>
      </c>
      <c r="B78" s="213" t="s">
        <v>571</v>
      </c>
      <c r="C78" s="242">
        <v>-7188</v>
      </c>
      <c r="D78" s="206"/>
      <c r="E78" s="214"/>
      <c r="F78" s="241">
        <v>-7188</v>
      </c>
      <c r="G78" s="206"/>
      <c r="H78" s="214"/>
      <c r="I78" s="1">
        <f t="shared" si="1"/>
        <v>0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2037</v>
      </c>
      <c r="B79" s="213" t="s">
        <v>572</v>
      </c>
      <c r="C79" s="242">
        <v>-428204.61</v>
      </c>
      <c r="D79" s="206"/>
      <c r="E79" s="214"/>
      <c r="F79" s="241">
        <v>-452811.5</v>
      </c>
      <c r="G79" s="206"/>
      <c r="H79" s="214"/>
      <c r="I79" s="1">
        <f t="shared" si="1"/>
        <v>24606.890000000014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23">
        <v>2038</v>
      </c>
      <c r="B80" s="218" t="s">
        <v>573</v>
      </c>
      <c r="C80" s="242">
        <v>-17224.759999999998</v>
      </c>
      <c r="D80" s="206"/>
      <c r="E80" s="214"/>
      <c r="F80" s="241">
        <v>-16405.759999999998</v>
      </c>
      <c r="G80" s="206"/>
      <c r="H80" s="214"/>
      <c r="I80" s="1">
        <f t="shared" si="1"/>
        <v>-819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350">
        <v>2039</v>
      </c>
      <c r="B81" s="349" t="s">
        <v>764</v>
      </c>
      <c r="C81" s="242">
        <v>-89666.77</v>
      </c>
      <c r="D81" s="206"/>
      <c r="E81" s="214"/>
      <c r="F81" s="241">
        <v>-59488.99</v>
      </c>
      <c r="G81" s="206"/>
      <c r="H81" s="214"/>
      <c r="I81" s="1">
        <f t="shared" si="1"/>
        <v>-30177.780000000006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23">
        <v>2040</v>
      </c>
      <c r="B82" s="218" t="s">
        <v>528</v>
      </c>
      <c r="C82" s="344">
        <v>-541013.30000000005</v>
      </c>
      <c r="D82" s="206"/>
      <c r="E82" s="214"/>
      <c r="F82" s="241">
        <v>-541013.30000000005</v>
      </c>
      <c r="G82" s="206"/>
      <c r="H82" s="214"/>
      <c r="I82" s="1">
        <f t="shared" si="1"/>
        <v>0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>
      <c r="A83" s="223">
        <v>2041</v>
      </c>
      <c r="B83" s="218" t="s">
        <v>126</v>
      </c>
      <c r="C83" s="344">
        <v>-96296.55</v>
      </c>
      <c r="D83" s="206">
        <f>SUM(C82:C83)</f>
        <v>-637309.85000000009</v>
      </c>
      <c r="E83" s="214"/>
      <c r="F83" s="241">
        <v>-96296.55</v>
      </c>
      <c r="G83" s="206">
        <f>SUM(F82:F83)</f>
        <v>-637309.85000000009</v>
      </c>
      <c r="H83" s="217"/>
      <c r="I83" s="1">
        <f t="shared" si="1"/>
        <v>0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23">
        <v>2042</v>
      </c>
      <c r="B84" s="218" t="s">
        <v>893</v>
      </c>
      <c r="C84" s="242">
        <v>-26025.8</v>
      </c>
      <c r="D84" s="206"/>
      <c r="E84" s="214"/>
      <c r="F84" s="241">
        <v>-27025.8</v>
      </c>
      <c r="G84" s="206"/>
      <c r="H84" s="217"/>
      <c r="I84" s="1">
        <f t="shared" si="1"/>
        <v>1000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23">
        <v>2045</v>
      </c>
      <c r="B85" s="218" t="s">
        <v>128</v>
      </c>
      <c r="C85" s="242">
        <v>35485.9</v>
      </c>
      <c r="D85" s="206"/>
      <c r="E85" s="214"/>
      <c r="F85" s="241">
        <v>35485.9</v>
      </c>
      <c r="G85" s="206"/>
      <c r="H85" s="214"/>
      <c r="I85" s="1">
        <f t="shared" si="1"/>
        <v>0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350">
        <v>2046</v>
      </c>
      <c r="B86" s="349" t="s">
        <v>765</v>
      </c>
      <c r="C86" s="242">
        <v>94204.99</v>
      </c>
      <c r="D86" s="206"/>
      <c r="E86" s="214"/>
      <c r="F86" s="241">
        <v>94204.99</v>
      </c>
      <c r="G86" s="206"/>
      <c r="H86" s="214"/>
      <c r="I86" s="1">
        <f t="shared" si="1"/>
        <v>0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350">
        <v>2047</v>
      </c>
      <c r="B87" s="349" t="s">
        <v>931</v>
      </c>
      <c r="C87" s="242">
        <v>13525.88</v>
      </c>
      <c r="D87" s="206"/>
      <c r="E87" s="214"/>
      <c r="F87" s="241">
        <v>0</v>
      </c>
      <c r="G87" s="206"/>
      <c r="H87" s="214"/>
      <c r="I87" s="1">
        <f t="shared" si="1"/>
        <v>13525.88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23">
        <v>2050</v>
      </c>
      <c r="B88" s="218" t="s">
        <v>694</v>
      </c>
      <c r="C88" s="242">
        <v>118470.34</v>
      </c>
      <c r="D88" s="206"/>
      <c r="E88" s="214"/>
      <c r="F88" s="241">
        <v>115387.55</v>
      </c>
      <c r="G88" s="206"/>
      <c r="H88" s="214"/>
      <c r="I88" s="1">
        <f t="shared" si="1"/>
        <v>3082.7899999999936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23">
        <v>2055</v>
      </c>
      <c r="B89" s="218" t="s">
        <v>574</v>
      </c>
      <c r="C89" s="242">
        <v>-398307.08</v>
      </c>
      <c r="D89" s="206"/>
      <c r="E89" s="214"/>
      <c r="F89" s="241">
        <v>224492.75</v>
      </c>
      <c r="G89" s="206"/>
      <c r="H89" s="214"/>
      <c r="I89" s="1">
        <f t="shared" si="1"/>
        <v>-622799.83000000007</v>
      </c>
      <c r="J89" s="1">
        <f t="shared" si="1"/>
        <v>0</v>
      </c>
      <c r="K89" s="1">
        <f t="shared" si="1"/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23">
        <v>2070</v>
      </c>
      <c r="B90" s="218" t="s">
        <v>134</v>
      </c>
      <c r="C90" s="242">
        <v>-11107492.57</v>
      </c>
      <c r="D90" s="206"/>
      <c r="E90" s="214"/>
      <c r="F90" s="241">
        <v>-940423.02</v>
      </c>
      <c r="G90" s="206"/>
      <c r="H90" s="214"/>
      <c r="I90" s="1">
        <f t="shared" si="1"/>
        <v>-10167069.550000001</v>
      </c>
      <c r="J90" s="1">
        <f t="shared" si="1"/>
        <v>0</v>
      </c>
      <c r="K90" s="1">
        <f t="shared" si="1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23">
        <v>2080</v>
      </c>
      <c r="B91" s="218" t="s">
        <v>136</v>
      </c>
      <c r="C91" s="242">
        <v>-746687.54</v>
      </c>
      <c r="D91" s="206"/>
      <c r="E91" s="214"/>
      <c r="F91" s="241">
        <v>-729717.92</v>
      </c>
      <c r="G91" s="229"/>
      <c r="H91" s="214"/>
      <c r="I91" s="1">
        <f t="shared" si="1"/>
        <v>-16969.619999999995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23">
        <v>2090</v>
      </c>
      <c r="B92" s="218" t="s">
        <v>695</v>
      </c>
      <c r="C92" s="242">
        <v>106985.63</v>
      </c>
      <c r="D92" s="261"/>
      <c r="E92" s="217"/>
      <c r="F92" s="241">
        <v>106985.63</v>
      </c>
      <c r="G92" s="239"/>
      <c r="H92" s="217"/>
      <c r="I92" s="1">
        <f t="shared" si="1"/>
        <v>0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23"/>
      <c r="B93" s="218" t="s">
        <v>575</v>
      </c>
      <c r="C93" s="242">
        <f>'Årsregnskap 2020'!C29*-1</f>
        <v>-1712415.09</v>
      </c>
      <c r="D93" s="206">
        <f>SUM(C45:C81)+C84+C85+C86+C88+C89+C90+C91+C92+C93+C87</f>
        <v>-15218970.729999997</v>
      </c>
      <c r="E93" s="214">
        <f>SUM(D83:D93)</f>
        <v>-15856280.579999996</v>
      </c>
      <c r="F93" s="241">
        <f>'Årsregnskap 2020'!D29*-1</f>
        <v>-10955317.469999997</v>
      </c>
      <c r="G93" s="206">
        <f>SUM(F45:F81)+F84+F85+F86+F88+F89+F90+F91+F92+F93+F87</f>
        <v>-13506555.439999998</v>
      </c>
      <c r="H93" s="214">
        <f>G83+G93</f>
        <v>-14143865.289999997</v>
      </c>
      <c r="I93" s="1">
        <f t="shared" si="1"/>
        <v>9242902.3799999971</v>
      </c>
      <c r="J93" s="1">
        <f t="shared" si="1"/>
        <v>-1712415.2899999991</v>
      </c>
      <c r="K93" s="1">
        <f t="shared" si="1"/>
        <v>-1712415.2899999991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23">
        <v>2192</v>
      </c>
      <c r="B94" s="218" t="s">
        <v>138</v>
      </c>
      <c r="C94" s="246">
        <v>0</v>
      </c>
      <c r="D94" s="206"/>
      <c r="E94" s="214"/>
      <c r="F94" s="246">
        <v>0</v>
      </c>
      <c r="G94" s="206"/>
      <c r="H94" s="214"/>
      <c r="I94" s="1">
        <f t="shared" si="1"/>
        <v>0</v>
      </c>
      <c r="J94" s="1">
        <f t="shared" si="1"/>
        <v>0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23">
        <v>2240</v>
      </c>
      <c r="B95" s="218" t="s">
        <v>140</v>
      </c>
      <c r="C95" s="243">
        <v>-1000000</v>
      </c>
      <c r="D95" s="206"/>
      <c r="E95" s="214"/>
      <c r="F95" s="243">
        <v>-1000000</v>
      </c>
      <c r="G95" s="206"/>
      <c r="H95" s="214"/>
      <c r="I95" s="1">
        <f t="shared" si="1"/>
        <v>0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23">
        <v>2241</v>
      </c>
      <c r="B96" s="218" t="s">
        <v>142</v>
      </c>
      <c r="C96" s="243">
        <v>-277790</v>
      </c>
      <c r="D96" s="227">
        <f>SUM(C95:C96)+C99</f>
        <v>-1312790</v>
      </c>
      <c r="E96" s="214"/>
      <c r="F96" s="243">
        <v>-277790</v>
      </c>
      <c r="G96" s="227">
        <f>SUM(F95:F96)+F99</f>
        <v>-1312790</v>
      </c>
      <c r="H96" s="214"/>
      <c r="I96" s="1">
        <f t="shared" si="1"/>
        <v>0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23">
        <v>2400</v>
      </c>
      <c r="B97" s="218" t="s">
        <v>578</v>
      </c>
      <c r="C97" s="241">
        <v>-139500.44</v>
      </c>
      <c r="D97" s="206">
        <f>C97</f>
        <v>-139500.44</v>
      </c>
      <c r="E97" s="214"/>
      <c r="F97" s="241">
        <v>-760065.71</v>
      </c>
      <c r="G97" s="206">
        <f>F97</f>
        <v>-760065.71</v>
      </c>
      <c r="H97" s="214"/>
      <c r="I97" s="1">
        <f t="shared" si="1"/>
        <v>620565.27</v>
      </c>
      <c r="J97" s="1">
        <f t="shared" si="1"/>
        <v>620565.27</v>
      </c>
      <c r="K97" s="1">
        <f t="shared" si="1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23">
        <v>2442</v>
      </c>
      <c r="B98" s="218" t="s">
        <v>576</v>
      </c>
      <c r="C98" s="244">
        <v>-10000</v>
      </c>
      <c r="D98" s="206"/>
      <c r="E98" s="214"/>
      <c r="F98" s="244">
        <v>-10000</v>
      </c>
      <c r="G98" s="206"/>
      <c r="H98" s="214"/>
      <c r="I98" s="1">
        <f t="shared" si="1"/>
        <v>0</v>
      </c>
      <c r="J98" s="1">
        <f t="shared" si="1"/>
        <v>0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23">
        <v>2443</v>
      </c>
      <c r="B99" s="218" t="s">
        <v>150</v>
      </c>
      <c r="C99" s="243">
        <v>-35000</v>
      </c>
      <c r="D99" s="206"/>
      <c r="E99" s="214"/>
      <c r="F99" s="243">
        <v>-35000</v>
      </c>
      <c r="G99" s="206"/>
      <c r="H99" s="214"/>
      <c r="I99" s="1">
        <f t="shared" si="1"/>
        <v>0</v>
      </c>
      <c r="J99" s="1">
        <f t="shared" si="1"/>
        <v>0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23">
        <v>2444</v>
      </c>
      <c r="B100" s="218" t="s">
        <v>577</v>
      </c>
      <c r="C100" s="244">
        <v>-10000</v>
      </c>
      <c r="D100" s="228">
        <f>C98+C100</f>
        <v>-20000</v>
      </c>
      <c r="E100" s="214"/>
      <c r="F100" s="244">
        <v>-10000</v>
      </c>
      <c r="G100" s="228">
        <f>F98+F100</f>
        <v>-20000</v>
      </c>
      <c r="H100" s="214"/>
      <c r="I100" s="1">
        <f t="shared" si="1"/>
        <v>0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23">
        <v>2600</v>
      </c>
      <c r="B101" s="218" t="s">
        <v>579</v>
      </c>
      <c r="C101" s="242">
        <v>-14988</v>
      </c>
      <c r="D101" s="206"/>
      <c r="E101" s="214"/>
      <c r="F101" s="242">
        <v>-9434</v>
      </c>
      <c r="G101" s="206"/>
      <c r="H101" s="214"/>
      <c r="I101" s="1">
        <f t="shared" si="1"/>
        <v>-5554</v>
      </c>
      <c r="J101" s="1">
        <f t="shared" si="1"/>
        <v>0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2770</v>
      </c>
      <c r="B102" s="213" t="s">
        <v>160</v>
      </c>
      <c r="C102" s="242">
        <v>-19386.75</v>
      </c>
      <c r="D102" s="225">
        <f>SUM(C101:C102)</f>
        <v>-34374.75</v>
      </c>
      <c r="E102" s="214"/>
      <c r="F102" s="242">
        <v>-20969.88</v>
      </c>
      <c r="G102" s="225">
        <f>SUM(F101:F102)</f>
        <v>-30403.88</v>
      </c>
      <c r="H102" s="214"/>
      <c r="I102" s="1">
        <f t="shared" si="1"/>
        <v>1583.130000000001</v>
      </c>
      <c r="J102" s="1">
        <f t="shared" si="1"/>
        <v>-3970.869999999999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2780</v>
      </c>
      <c r="B103" s="213" t="s">
        <v>582</v>
      </c>
      <c r="C103" s="246">
        <v>-6376.14</v>
      </c>
      <c r="D103" s="206"/>
      <c r="E103" s="214"/>
      <c r="F103" s="246">
        <v>-6300.53</v>
      </c>
      <c r="G103" s="206"/>
      <c r="H103" s="214"/>
      <c r="I103" s="1">
        <f t="shared" si="1"/>
        <v>-75.610000000000582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>
      <c r="A104" s="212">
        <v>2900</v>
      </c>
      <c r="B104" s="213" t="s">
        <v>164</v>
      </c>
      <c r="C104" s="246">
        <v>0</v>
      </c>
      <c r="D104" s="206"/>
      <c r="E104" s="214"/>
      <c r="F104" s="246">
        <v>0</v>
      </c>
      <c r="G104" s="206"/>
      <c r="H104" s="214"/>
      <c r="I104" s="1">
        <f t="shared" si="1"/>
        <v>0</v>
      </c>
      <c r="J104" s="1">
        <f t="shared" si="1"/>
        <v>0</v>
      </c>
      <c r="K104" s="1">
        <f t="shared" si="1"/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>
        <v>2930</v>
      </c>
      <c r="B105" s="213" t="s">
        <v>583</v>
      </c>
      <c r="C105" s="246">
        <v>-627</v>
      </c>
      <c r="D105" s="206"/>
      <c r="E105" s="214"/>
      <c r="F105" s="246">
        <v>-2200</v>
      </c>
      <c r="G105" s="206"/>
      <c r="H105" s="214"/>
      <c r="I105" s="1">
        <f t="shared" si="1"/>
        <v>1573</v>
      </c>
      <c r="J105" s="1">
        <f t="shared" si="1"/>
        <v>0</v>
      </c>
      <c r="K105" s="1">
        <f t="shared" si="1"/>
        <v>0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>
      <c r="A106" s="212">
        <v>2940</v>
      </c>
      <c r="B106" s="213" t="s">
        <v>168</v>
      </c>
      <c r="C106" s="246">
        <v>-45220.83</v>
      </c>
      <c r="D106" s="206"/>
      <c r="E106" s="214"/>
      <c r="F106" s="246">
        <v>-44684.59</v>
      </c>
      <c r="G106" s="206"/>
      <c r="H106" s="214"/>
      <c r="I106" s="1">
        <f t="shared" si="1"/>
        <v>-536.24000000000524</v>
      </c>
      <c r="J106" s="1">
        <f t="shared" si="1"/>
        <v>0</v>
      </c>
      <c r="K106" s="1">
        <f t="shared" si="1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>
      <c r="A107" s="212">
        <v>2960</v>
      </c>
      <c r="B107" s="213" t="s">
        <v>584</v>
      </c>
      <c r="C107" s="246">
        <v>0</v>
      </c>
      <c r="D107" s="206"/>
      <c r="E107" s="214"/>
      <c r="F107" s="246">
        <v>0</v>
      </c>
      <c r="G107" s="226"/>
      <c r="H107" s="217"/>
      <c r="I107" s="1">
        <f t="shared" si="1"/>
        <v>0</v>
      </c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14.4">
      <c r="A108" s="215">
        <v>2990</v>
      </c>
      <c r="B108" s="216" t="s">
        <v>146</v>
      </c>
      <c r="C108" s="257">
        <v>-1649.38</v>
      </c>
      <c r="D108" s="258">
        <f>SUM(C103:C108)+C94</f>
        <v>-53873.35</v>
      </c>
      <c r="E108" s="259">
        <f>SUM(D96:D108)</f>
        <v>-1560538.54</v>
      </c>
      <c r="F108" s="257">
        <v>0</v>
      </c>
      <c r="G108" s="258">
        <f>SUM(F103:F108)+F94</f>
        <v>-53185.119999999995</v>
      </c>
      <c r="H108" s="259">
        <f>SUM(G96:G108)</f>
        <v>-2176444.71</v>
      </c>
      <c r="I108" s="1">
        <f t="shared" si="1"/>
        <v>-1649.38</v>
      </c>
      <c r="J108" s="1">
        <f t="shared" si="1"/>
        <v>-688.2300000000032</v>
      </c>
      <c r="K108" s="1">
        <f t="shared" si="1"/>
        <v>615906.16999999993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/>
      <c r="B109" s="218" t="s">
        <v>820</v>
      </c>
      <c r="C109" s="241">
        <f>SUM(C45:C108)</f>
        <v>-17416819.119999997</v>
      </c>
      <c r="D109" s="206"/>
      <c r="E109" s="214">
        <f>E93+E108</f>
        <v>-17416819.119999997</v>
      </c>
      <c r="F109" s="241">
        <f>SUM(F45:F108)</f>
        <v>-16320309.999999996</v>
      </c>
      <c r="G109" s="206"/>
      <c r="H109" s="214">
        <f>H93+H108</f>
        <v>-16320309.999999996</v>
      </c>
      <c r="I109" s="1">
        <f t="shared" si="1"/>
        <v>-1096509.120000001</v>
      </c>
      <c r="J109" s="1">
        <f t="shared" si="1"/>
        <v>0</v>
      </c>
      <c r="K109" s="1">
        <f t="shared" si="1"/>
        <v>-1096509.120000001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3.8" thickBot="1">
      <c r="A110" s="212"/>
      <c r="B110" s="213"/>
      <c r="C110" s="241" t="s">
        <v>374</v>
      </c>
      <c r="D110" s="206"/>
      <c r="E110" s="214"/>
      <c r="F110" s="241"/>
      <c r="G110" s="206"/>
      <c r="H110" s="214"/>
      <c r="I110" s="1"/>
      <c r="J110" s="1">
        <f t="shared" si="1"/>
        <v>0</v>
      </c>
      <c r="K110" s="1">
        <f t="shared" si="1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350">
        <v>3090</v>
      </c>
      <c r="B111" s="349" t="s">
        <v>932</v>
      </c>
      <c r="C111" s="280">
        <v>-1190</v>
      </c>
      <c r="D111" s="281"/>
      <c r="E111" s="282"/>
      <c r="F111" s="280">
        <v>0</v>
      </c>
      <c r="G111" s="281"/>
      <c r="H111" s="282"/>
      <c r="I111" s="1">
        <f t="shared" si="1"/>
        <v>-1190</v>
      </c>
      <c r="J111" s="1">
        <f t="shared" si="1"/>
        <v>0</v>
      </c>
      <c r="K111" s="1">
        <f t="shared" si="1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350">
        <v>3100</v>
      </c>
      <c r="B112" s="349" t="s">
        <v>766</v>
      </c>
      <c r="C112" s="247">
        <v>0</v>
      </c>
      <c r="D112" s="206"/>
      <c r="E112" s="214"/>
      <c r="F112" s="247">
        <v>-615</v>
      </c>
      <c r="G112" s="206"/>
      <c r="H112" s="214"/>
      <c r="I112" s="1">
        <f t="shared" si="1"/>
        <v>615</v>
      </c>
      <c r="J112" s="1">
        <f t="shared" si="1"/>
        <v>0</v>
      </c>
      <c r="K112" s="1">
        <f t="shared" si="1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23">
        <v>3110</v>
      </c>
      <c r="B113" s="218" t="s">
        <v>176</v>
      </c>
      <c r="C113" s="247">
        <v>-7934.09</v>
      </c>
      <c r="D113" s="206"/>
      <c r="E113" s="214"/>
      <c r="F113" s="247">
        <v>-319709</v>
      </c>
      <c r="G113" s="206"/>
      <c r="H113" s="214"/>
      <c r="I113" s="1">
        <f t="shared" si="1"/>
        <v>311774.90999999997</v>
      </c>
      <c r="J113" s="1">
        <f t="shared" si="1"/>
        <v>0</v>
      </c>
      <c r="K113" s="1">
        <f t="shared" si="1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>
      <c r="A114" s="223">
        <v>3120</v>
      </c>
      <c r="B114" s="218" t="s">
        <v>178</v>
      </c>
      <c r="C114" s="247">
        <v>-25000</v>
      </c>
      <c r="D114" s="206"/>
      <c r="E114" s="214"/>
      <c r="F114" s="247">
        <v>-5000</v>
      </c>
      <c r="G114" s="206"/>
      <c r="H114" s="214"/>
      <c r="I114" s="1">
        <f>C114-F114</f>
        <v>-20000</v>
      </c>
      <c r="J114" s="1">
        <f t="shared" si="1"/>
        <v>0</v>
      </c>
      <c r="K114" s="1">
        <f t="shared" si="1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350">
        <v>3160</v>
      </c>
      <c r="B115" s="349" t="s">
        <v>767</v>
      </c>
      <c r="C115" s="247">
        <v>0</v>
      </c>
      <c r="D115" s="206"/>
      <c r="E115" s="214"/>
      <c r="F115" s="247">
        <v>0</v>
      </c>
      <c r="G115" s="206"/>
      <c r="H115" s="214"/>
      <c r="I115" s="1">
        <f t="shared" ref="I115:K135" si="2">C115-F115</f>
        <v>0</v>
      </c>
      <c r="J115" s="1">
        <f t="shared" si="2"/>
        <v>0</v>
      </c>
      <c r="K115" s="1">
        <f t="shared" si="2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23">
        <v>3400</v>
      </c>
      <c r="B116" s="218" t="s">
        <v>182</v>
      </c>
      <c r="C116" s="243">
        <v>-1530330</v>
      </c>
      <c r="D116" s="227">
        <f>C116</f>
        <v>-1530330</v>
      </c>
      <c r="E116" s="214"/>
      <c r="F116" s="243">
        <v>-975340</v>
      </c>
      <c r="G116" s="227">
        <f>F116</f>
        <v>-975340</v>
      </c>
      <c r="H116" s="214"/>
      <c r="I116" s="1">
        <f t="shared" si="2"/>
        <v>-554990</v>
      </c>
      <c r="J116" s="1">
        <f t="shared" si="2"/>
        <v>-554990</v>
      </c>
      <c r="K116" s="1">
        <f t="shared" si="2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23">
        <v>3440</v>
      </c>
      <c r="B117" s="218" t="s">
        <v>588</v>
      </c>
      <c r="C117" s="247">
        <v>-891105</v>
      </c>
      <c r="D117" s="206"/>
      <c r="E117" s="214"/>
      <c r="F117" s="247">
        <v>-1105757</v>
      </c>
      <c r="G117" s="206"/>
      <c r="H117" s="214"/>
      <c r="I117" s="1">
        <f t="shared" si="2"/>
        <v>214652</v>
      </c>
      <c r="J117" s="1">
        <f t="shared" si="2"/>
        <v>0</v>
      </c>
      <c r="K117" s="1">
        <f t="shared" si="2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>
      <c r="A118" s="223">
        <v>3450</v>
      </c>
      <c r="B118" s="218" t="s">
        <v>865</v>
      </c>
      <c r="C118" s="247">
        <v>-406373.99</v>
      </c>
      <c r="D118" s="206"/>
      <c r="E118" s="214"/>
      <c r="F118" s="247">
        <v>-383182</v>
      </c>
      <c r="G118" s="206"/>
      <c r="H118" s="214"/>
      <c r="I118" s="1">
        <f t="shared" si="2"/>
        <v>-23191.989999999991</v>
      </c>
      <c r="J118" s="1">
        <f t="shared" si="2"/>
        <v>0</v>
      </c>
      <c r="K118" s="1">
        <f t="shared" si="2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>
      <c r="A119" s="350">
        <v>3480</v>
      </c>
      <c r="B119" s="349" t="s">
        <v>190</v>
      </c>
      <c r="C119" s="247">
        <v>-377975</v>
      </c>
      <c r="D119" s="206"/>
      <c r="E119" s="214"/>
      <c r="F119" s="247">
        <v>-728100</v>
      </c>
      <c r="G119" s="206"/>
      <c r="H119" s="214"/>
      <c r="I119" s="1">
        <f t="shared" si="2"/>
        <v>350125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23">
        <v>3490</v>
      </c>
      <c r="B120" s="218" t="s">
        <v>194</v>
      </c>
      <c r="C120" s="247">
        <v>-388483.43</v>
      </c>
      <c r="D120" s="206"/>
      <c r="E120" s="214"/>
      <c r="F120" s="247">
        <v>-82846.5</v>
      </c>
      <c r="G120" s="206"/>
      <c r="H120" s="214"/>
      <c r="I120" s="1">
        <f t="shared" si="2"/>
        <v>-305636.93</v>
      </c>
      <c r="J120" s="1">
        <f t="shared" si="2"/>
        <v>0</v>
      </c>
      <c r="K120" s="1">
        <f t="shared" si="2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23">
        <v>3610</v>
      </c>
      <c r="B121" s="218" t="s">
        <v>589</v>
      </c>
      <c r="C121" s="248">
        <v>-61485</v>
      </c>
      <c r="D121" s="206"/>
      <c r="E121" s="214"/>
      <c r="F121" s="248">
        <v>-229342</v>
      </c>
      <c r="G121" s="206"/>
      <c r="H121" s="214"/>
      <c r="I121" s="1">
        <f t="shared" si="2"/>
        <v>167857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23">
        <v>3630</v>
      </c>
      <c r="B122" s="218" t="s">
        <v>198</v>
      </c>
      <c r="C122" s="248">
        <v>2500</v>
      </c>
      <c r="D122" s="231">
        <f>SUM(C121:C122)</f>
        <v>-58985</v>
      </c>
      <c r="E122" s="214"/>
      <c r="F122" s="248">
        <v>-2100</v>
      </c>
      <c r="G122" s="231">
        <f>SUM(F121:F122)</f>
        <v>-231442</v>
      </c>
      <c r="H122" s="214"/>
      <c r="I122" s="1">
        <f t="shared" si="2"/>
        <v>4600</v>
      </c>
      <c r="J122" s="1">
        <f t="shared" si="2"/>
        <v>172457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350">
        <v>3700</v>
      </c>
      <c r="B123" s="349" t="s">
        <v>768</v>
      </c>
      <c r="C123" s="247">
        <v>0</v>
      </c>
      <c r="D123" s="206"/>
      <c r="E123" s="214"/>
      <c r="F123" s="247">
        <v>0</v>
      </c>
      <c r="G123" s="232"/>
      <c r="H123" s="214"/>
      <c r="I123" s="1">
        <f t="shared" si="2"/>
        <v>0</v>
      </c>
      <c r="J123" s="1">
        <f t="shared" si="2"/>
        <v>0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350">
        <v>3808</v>
      </c>
      <c r="B124" s="349" t="s">
        <v>968</v>
      </c>
      <c r="C124" s="247"/>
      <c r="D124" s="206"/>
      <c r="E124" s="214"/>
      <c r="F124" s="247">
        <v>-9757856</v>
      </c>
      <c r="G124" s="232"/>
      <c r="H124" s="214"/>
      <c r="I124" s="1">
        <f t="shared" si="2"/>
        <v>9757856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350">
        <v>3900</v>
      </c>
      <c r="B125" s="349" t="s">
        <v>590</v>
      </c>
      <c r="C125" s="247">
        <v>-150000</v>
      </c>
      <c r="D125" s="206"/>
      <c r="E125" s="214"/>
      <c r="F125" s="247">
        <v>-520290</v>
      </c>
      <c r="G125" s="232"/>
      <c r="H125" s="214"/>
      <c r="I125" s="1">
        <f t="shared" si="2"/>
        <v>370290</v>
      </c>
      <c r="J125" s="1">
        <f t="shared" si="2"/>
        <v>0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23">
        <v>3910</v>
      </c>
      <c r="B126" s="218" t="s">
        <v>591</v>
      </c>
      <c r="C126" s="249">
        <v>-491</v>
      </c>
      <c r="D126" s="206"/>
      <c r="E126" s="214"/>
      <c r="F126" s="249">
        <v>-2750.68</v>
      </c>
      <c r="G126" s="206"/>
      <c r="H126" s="214"/>
      <c r="I126" s="1">
        <f t="shared" si="2"/>
        <v>2259.6799999999998</v>
      </c>
      <c r="J126" s="1">
        <f t="shared" si="2"/>
        <v>0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23">
        <v>3915</v>
      </c>
      <c r="B127" s="218" t="s">
        <v>204</v>
      </c>
      <c r="C127" s="249">
        <v>0</v>
      </c>
      <c r="D127" s="206"/>
      <c r="E127" s="214"/>
      <c r="F127" s="249">
        <v>0</v>
      </c>
      <c r="G127" s="206"/>
      <c r="H127" s="214"/>
      <c r="I127" s="1">
        <f t="shared" si="2"/>
        <v>0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23">
        <v>3920</v>
      </c>
      <c r="B128" s="218" t="s">
        <v>592</v>
      </c>
      <c r="C128" s="249">
        <v>-1947183.41</v>
      </c>
      <c r="D128" s="206"/>
      <c r="E128" s="214"/>
      <c r="F128" s="249">
        <v>-1919866</v>
      </c>
      <c r="G128" s="206"/>
      <c r="H128" s="214"/>
      <c r="I128" s="1">
        <f t="shared" si="2"/>
        <v>-27317.409999999916</v>
      </c>
      <c r="J128" s="1">
        <f t="shared" si="2"/>
        <v>0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23">
        <v>3925</v>
      </c>
      <c r="B129" s="218" t="s">
        <v>208</v>
      </c>
      <c r="C129" s="249">
        <v>0</v>
      </c>
      <c r="D129" s="233">
        <f>SUM(C126:C129)</f>
        <v>-1947674.41</v>
      </c>
      <c r="E129" s="214"/>
      <c r="F129" s="249">
        <v>0</v>
      </c>
      <c r="G129" s="233">
        <f>SUM(F126:F129)</f>
        <v>-1922616.68</v>
      </c>
      <c r="H129" s="214"/>
      <c r="I129" s="1">
        <f t="shared" si="2"/>
        <v>0</v>
      </c>
      <c r="J129" s="1">
        <f t="shared" si="2"/>
        <v>-25057.729999999981</v>
      </c>
      <c r="K129" s="1">
        <f t="shared" si="2"/>
        <v>0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>
      <c r="A130" s="223">
        <v>3940</v>
      </c>
      <c r="B130" s="218" t="s">
        <v>212</v>
      </c>
      <c r="C130" s="247">
        <v>-74680</v>
      </c>
      <c r="D130" s="206"/>
      <c r="E130" s="214"/>
      <c r="F130" s="247">
        <v>-50890</v>
      </c>
      <c r="G130" s="206"/>
      <c r="H130" s="214"/>
      <c r="I130" s="1">
        <f t="shared" si="2"/>
        <v>-23790</v>
      </c>
      <c r="J130" s="1">
        <f t="shared" si="2"/>
        <v>0</v>
      </c>
      <c r="K130" s="1">
        <f t="shared" si="2"/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23">
        <v>3950</v>
      </c>
      <c r="B131" s="218" t="s">
        <v>214</v>
      </c>
      <c r="C131" s="247">
        <v>-26049.95</v>
      </c>
      <c r="D131" s="206"/>
      <c r="E131" s="214"/>
      <c r="F131" s="247">
        <v>-386669.14</v>
      </c>
      <c r="G131" s="206"/>
      <c r="H131" s="214"/>
      <c r="I131" s="1">
        <f t="shared" si="2"/>
        <v>360619.19</v>
      </c>
      <c r="J131" s="1">
        <f t="shared" si="2"/>
        <v>0</v>
      </c>
      <c r="K131" s="1">
        <f t="shared" si="2"/>
        <v>0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23">
        <v>3960</v>
      </c>
      <c r="B132" s="218" t="s">
        <v>216</v>
      </c>
      <c r="C132" s="247">
        <v>-24980</v>
      </c>
      <c r="D132" s="206"/>
      <c r="E132" s="214"/>
      <c r="F132" s="247">
        <v>-296905.34999999998</v>
      </c>
      <c r="G132" s="206"/>
      <c r="H132" s="214"/>
      <c r="I132" s="1">
        <f t="shared" si="2"/>
        <v>271925.34999999998</v>
      </c>
      <c r="J132" s="1">
        <f t="shared" si="2"/>
        <v>0</v>
      </c>
      <c r="K132" s="1">
        <f t="shared" si="2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>
      <c r="A133" s="223">
        <v>3970</v>
      </c>
      <c r="B133" s="218" t="s">
        <v>218</v>
      </c>
      <c r="C133" s="247">
        <v>-74997</v>
      </c>
      <c r="D133" s="206"/>
      <c r="E133" s="214"/>
      <c r="F133" s="247">
        <v>-341117.25</v>
      </c>
      <c r="G133" s="206"/>
      <c r="H133" s="214"/>
      <c r="I133" s="1">
        <f t="shared" si="2"/>
        <v>266120.25</v>
      </c>
      <c r="J133" s="1">
        <f t="shared" si="2"/>
        <v>0</v>
      </c>
      <c r="K133" s="1">
        <f t="shared" si="2"/>
        <v>0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23">
        <v>3990</v>
      </c>
      <c r="B134" s="218" t="s">
        <v>220</v>
      </c>
      <c r="C134" s="283">
        <v>-858949.41</v>
      </c>
      <c r="D134" s="279">
        <f>C111+C113+C114+C115+C117+C118+C119+C120+C123+C125+C130+C131+C132+C133+C134+C135+C136</f>
        <v>-3371690.4700000007</v>
      </c>
      <c r="E134" s="274"/>
      <c r="F134" s="279">
        <v>-840206.88</v>
      </c>
      <c r="G134" s="279">
        <f>F111+F113+F114+F115+F117+F118+F119+F120+F123+F130+F131+F132+F133+F134+F125+F136+F135+F112+F124</f>
        <v>-14951810.08</v>
      </c>
      <c r="H134" s="217"/>
      <c r="I134" s="1">
        <f t="shared" si="2"/>
        <v>-18742.530000000028</v>
      </c>
      <c r="J134" s="1">
        <f>D134-G134</f>
        <v>11580119.609999999</v>
      </c>
      <c r="K134" s="1">
        <f t="shared" si="2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23">
        <v>3991</v>
      </c>
      <c r="B135" s="218" t="s">
        <v>832</v>
      </c>
      <c r="C135" s="283">
        <v>0</v>
      </c>
      <c r="D135" s="279"/>
      <c r="E135" s="274"/>
      <c r="F135" s="279">
        <v>0</v>
      </c>
      <c r="G135" s="279"/>
      <c r="H135" s="217"/>
      <c r="I135" s="1">
        <f t="shared" si="2"/>
        <v>0</v>
      </c>
      <c r="J135" s="1"/>
      <c r="K135" s="1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 ht="13.8" thickBot="1">
      <c r="A136" s="223">
        <v>3991</v>
      </c>
      <c r="B136" s="218" t="s">
        <v>832</v>
      </c>
      <c r="C136" s="275">
        <v>-63972.6</v>
      </c>
      <c r="D136" s="276"/>
      <c r="E136" s="277"/>
      <c r="F136" s="275">
        <v>-132665.96</v>
      </c>
      <c r="G136" s="276"/>
      <c r="H136" s="278"/>
      <c r="I136" s="1"/>
      <c r="K136" s="1">
        <f t="shared" ref="K136:K203" si="3">E136-H136</f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/>
      <c r="B137" s="213" t="s">
        <v>593</v>
      </c>
      <c r="C137" s="241">
        <f>SUM(C111:C136)</f>
        <v>-6908679.8799999999</v>
      </c>
      <c r="D137" s="206"/>
      <c r="E137" s="214">
        <f>SUM(D116:D134)</f>
        <v>-6908679.8800000008</v>
      </c>
      <c r="F137" s="241">
        <f>SUM(F111:F136)</f>
        <v>-18081208.760000002</v>
      </c>
      <c r="G137" s="206"/>
      <c r="H137" s="214">
        <f>SUM(G116:G134)</f>
        <v>-18081208.759999998</v>
      </c>
      <c r="I137" s="1"/>
      <c r="K137" s="1">
        <f t="shared" si="3"/>
        <v>11172528.879999997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/>
      <c r="B138" s="213"/>
      <c r="C138" s="241" t="s">
        <v>374</v>
      </c>
      <c r="D138" s="206"/>
      <c r="E138" s="214"/>
      <c r="F138" s="241"/>
      <c r="G138" s="206"/>
      <c r="H138" s="214"/>
      <c r="I138" s="1"/>
      <c r="K138" s="1">
        <f t="shared" si="3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 ht="14.4">
      <c r="A139" s="215">
        <v>4000</v>
      </c>
      <c r="B139" s="216" t="s">
        <v>769</v>
      </c>
      <c r="C139" s="250">
        <v>0</v>
      </c>
      <c r="D139" s="206"/>
      <c r="E139" s="214"/>
      <c r="F139" s="250">
        <v>0</v>
      </c>
      <c r="G139" s="206"/>
      <c r="H139" s="214"/>
      <c r="I139" s="1">
        <f t="shared" ref="I139:K210" si="4">C139-F139</f>
        <v>0</v>
      </c>
      <c r="J139" s="1">
        <f t="shared" si="4"/>
        <v>0</v>
      </c>
      <c r="K139" s="1">
        <f t="shared" si="3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4110</v>
      </c>
      <c r="B140" s="213" t="s">
        <v>696</v>
      </c>
      <c r="C140" s="250">
        <v>207631.64</v>
      </c>
      <c r="D140" s="206"/>
      <c r="E140" s="214"/>
      <c r="F140" s="250">
        <v>308320.26</v>
      </c>
      <c r="G140" s="206"/>
      <c r="H140" s="214"/>
      <c r="I140" s="1">
        <f t="shared" si="4"/>
        <v>-100688.62</v>
      </c>
      <c r="J140" s="1">
        <f t="shared" si="4"/>
        <v>0</v>
      </c>
      <c r="K140" s="1">
        <f t="shared" si="3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4120</v>
      </c>
      <c r="B141" s="213" t="s">
        <v>697</v>
      </c>
      <c r="C141" s="250">
        <v>368472.89</v>
      </c>
      <c r="D141" s="206"/>
      <c r="E141" s="214"/>
      <c r="F141" s="250">
        <v>539530.12</v>
      </c>
      <c r="G141" s="206"/>
      <c r="H141" s="214"/>
      <c r="I141" s="1">
        <f t="shared" si="4"/>
        <v>-171057.22999999998</v>
      </c>
      <c r="J141" s="1">
        <f t="shared" si="4"/>
        <v>0</v>
      </c>
      <c r="K141" s="1">
        <f t="shared" si="3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4150</v>
      </c>
      <c r="B142" s="213" t="s">
        <v>698</v>
      </c>
      <c r="C142" s="250">
        <v>7860</v>
      </c>
      <c r="D142" s="206"/>
      <c r="E142" s="214"/>
      <c r="F142" s="250">
        <v>0</v>
      </c>
      <c r="G142" s="206"/>
      <c r="H142" s="214"/>
      <c r="I142" s="1">
        <f t="shared" si="4"/>
        <v>7860</v>
      </c>
      <c r="J142" s="1">
        <f t="shared" si="4"/>
        <v>0</v>
      </c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4160</v>
      </c>
      <c r="B143" s="213" t="s">
        <v>444</v>
      </c>
      <c r="C143" s="250">
        <v>0</v>
      </c>
      <c r="D143" s="206"/>
      <c r="E143" s="214"/>
      <c r="F143" s="250">
        <v>0</v>
      </c>
      <c r="G143" s="206"/>
      <c r="H143" s="214"/>
      <c r="I143" s="1">
        <f t="shared" si="4"/>
        <v>0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4200</v>
      </c>
      <c r="B144" s="213" t="s">
        <v>323</v>
      </c>
      <c r="C144" s="250">
        <v>363645.38</v>
      </c>
      <c r="D144" s="206"/>
      <c r="E144" s="214"/>
      <c r="F144" s="250">
        <v>792957.47</v>
      </c>
      <c r="G144" s="206"/>
      <c r="H144" s="214"/>
      <c r="I144" s="1">
        <f t="shared" si="4"/>
        <v>-429312.08999999997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4300</v>
      </c>
      <c r="B145" s="213" t="s">
        <v>699</v>
      </c>
      <c r="C145" s="250">
        <v>2976</v>
      </c>
      <c r="D145" s="206"/>
      <c r="E145" s="214"/>
      <c r="F145" s="250">
        <v>5382.8</v>
      </c>
      <c r="G145" s="206"/>
      <c r="H145" s="214"/>
      <c r="I145" s="1">
        <f t="shared" si="4"/>
        <v>-2406.8000000000002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4350</v>
      </c>
      <c r="B146" s="213" t="s">
        <v>833</v>
      </c>
      <c r="C146" s="250">
        <v>0</v>
      </c>
      <c r="D146" s="206"/>
      <c r="E146" s="214"/>
      <c r="F146" s="250">
        <v>0</v>
      </c>
      <c r="G146" s="206"/>
      <c r="H146" s="214"/>
      <c r="I146" s="1">
        <f t="shared" si="4"/>
        <v>0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>
      <c r="A147" s="212">
        <v>4500</v>
      </c>
      <c r="B147" s="213" t="s">
        <v>700</v>
      </c>
      <c r="C147" s="250">
        <v>75016.69</v>
      </c>
      <c r="D147" s="206"/>
      <c r="E147" s="214"/>
      <c r="F147" s="250">
        <v>133174.5</v>
      </c>
      <c r="G147" s="206"/>
      <c r="H147" s="214"/>
      <c r="I147" s="1">
        <f t="shared" si="4"/>
        <v>-58157.81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4510</v>
      </c>
      <c r="B148" s="213" t="s">
        <v>701</v>
      </c>
      <c r="C148" s="250">
        <v>232711.95</v>
      </c>
      <c r="D148" s="206"/>
      <c r="E148" s="214"/>
      <c r="F148" s="250">
        <v>137001.39000000001</v>
      </c>
      <c r="G148" s="206"/>
      <c r="H148" s="214"/>
      <c r="I148" s="1">
        <f t="shared" si="4"/>
        <v>95710.56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>
        <v>4590</v>
      </c>
      <c r="B149" s="213" t="s">
        <v>435</v>
      </c>
      <c r="C149" s="250">
        <v>-14864.88</v>
      </c>
      <c r="D149" s="206"/>
      <c r="E149" s="214"/>
      <c r="F149" s="250">
        <v>-8416.3700000000008</v>
      </c>
      <c r="G149" s="206"/>
      <c r="H149" s="214"/>
      <c r="I149" s="1">
        <f t="shared" si="4"/>
        <v>-6448.5099999999984</v>
      </c>
      <c r="J149" s="1">
        <f t="shared" si="4"/>
        <v>0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>
        <v>4610</v>
      </c>
      <c r="B150" s="213" t="s">
        <v>702</v>
      </c>
      <c r="C150" s="250">
        <v>95691</v>
      </c>
      <c r="D150" s="206"/>
      <c r="E150" s="214"/>
      <c r="F150" s="250">
        <v>157295.37</v>
      </c>
      <c r="G150" s="206"/>
      <c r="H150" s="214"/>
      <c r="I150" s="1">
        <f t="shared" si="4"/>
        <v>-61604.369999999995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4700</v>
      </c>
      <c r="B151" s="213" t="s">
        <v>335</v>
      </c>
      <c r="C151" s="250">
        <v>661359.44999999995</v>
      </c>
      <c r="D151" s="206"/>
      <c r="E151" s="214"/>
      <c r="F151" s="250">
        <v>815270.5</v>
      </c>
      <c r="G151" s="206"/>
      <c r="H151" s="214"/>
      <c r="I151" s="1">
        <f t="shared" si="4"/>
        <v>-153911.05000000005</v>
      </c>
      <c r="J151" s="1">
        <f t="shared" si="4"/>
        <v>0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4800</v>
      </c>
      <c r="B152" s="213" t="s">
        <v>703</v>
      </c>
      <c r="C152" s="250">
        <v>450109.68</v>
      </c>
      <c r="D152" s="206"/>
      <c r="E152" s="214"/>
      <c r="F152" s="250">
        <v>1126492.26</v>
      </c>
      <c r="G152" s="206"/>
      <c r="H152" s="214"/>
      <c r="I152" s="1">
        <f t="shared" si="4"/>
        <v>-676382.58000000007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 ht="14.4">
      <c r="A153" s="215">
        <v>4900</v>
      </c>
      <c r="B153" s="216" t="s">
        <v>770</v>
      </c>
      <c r="C153" s="250">
        <v>0</v>
      </c>
      <c r="D153" s="206"/>
      <c r="E153" s="214"/>
      <c r="F153" s="250">
        <v>5700</v>
      </c>
      <c r="G153" s="206"/>
      <c r="H153" s="214"/>
      <c r="I153" s="1">
        <f t="shared" si="4"/>
        <v>-5700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4990</v>
      </c>
      <c r="B154" s="213" t="s">
        <v>704</v>
      </c>
      <c r="C154" s="250">
        <v>94389.34</v>
      </c>
      <c r="D154" s="206"/>
      <c r="E154" s="214"/>
      <c r="F154" s="250">
        <v>275433.95</v>
      </c>
      <c r="G154" s="206"/>
      <c r="H154" s="214"/>
      <c r="I154" s="1">
        <f t="shared" si="4"/>
        <v>-181044.61000000002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/>
      <c r="B155" s="213" t="s">
        <v>595</v>
      </c>
      <c r="C155" s="250">
        <f>SUM(C139:C154)</f>
        <v>2544999.14</v>
      </c>
      <c r="D155" s="234">
        <f>C155</f>
        <v>2544999.14</v>
      </c>
      <c r="E155" s="214"/>
      <c r="F155" s="250">
        <f>SUM(F139:F154)</f>
        <v>4288142.25</v>
      </c>
      <c r="G155" s="234">
        <f>F155</f>
        <v>4288142.25</v>
      </c>
      <c r="H155" s="214"/>
      <c r="I155" s="1">
        <f t="shared" si="4"/>
        <v>-1743143.1099999999</v>
      </c>
      <c r="J155" s="1">
        <f t="shared" si="4"/>
        <v>-1743143.1099999999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>
      <c r="A156" s="212"/>
      <c r="B156" s="213"/>
      <c r="C156" s="241" t="s">
        <v>374</v>
      </c>
      <c r="D156" s="206"/>
      <c r="E156" s="214"/>
      <c r="F156" s="241"/>
      <c r="G156" s="206"/>
      <c r="H156" s="214"/>
      <c r="I156" s="1">
        <v>0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>
      <c r="A157" s="212">
        <v>5000</v>
      </c>
      <c r="B157" s="213" t="s">
        <v>834</v>
      </c>
      <c r="C157" s="251">
        <v>0</v>
      </c>
      <c r="D157" s="206"/>
      <c r="E157" s="214"/>
      <c r="F157" s="251">
        <v>0</v>
      </c>
      <c r="G157" s="206"/>
      <c r="H157" s="214"/>
      <c r="I157" s="1">
        <f t="shared" si="4"/>
        <v>0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5010</v>
      </c>
      <c r="B158" s="213" t="s">
        <v>596</v>
      </c>
      <c r="C158" s="251">
        <v>376840.25</v>
      </c>
      <c r="D158" s="206"/>
      <c r="E158" s="214"/>
      <c r="F158" s="251">
        <v>372371.6</v>
      </c>
      <c r="G158" s="206"/>
      <c r="H158" s="214"/>
      <c r="I158" s="1">
        <f t="shared" si="4"/>
        <v>4468.6500000000233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5011</v>
      </c>
      <c r="B159" s="213" t="s">
        <v>597</v>
      </c>
      <c r="C159" s="251">
        <v>345412.83</v>
      </c>
      <c r="D159" s="206"/>
      <c r="E159" s="214"/>
      <c r="F159" s="251">
        <v>499405.89</v>
      </c>
      <c r="G159" s="206"/>
      <c r="H159" s="214"/>
      <c r="I159" s="1">
        <f t="shared" si="4"/>
        <v>-153993.06</v>
      </c>
      <c r="J159" s="1">
        <f t="shared" si="4"/>
        <v>0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5020</v>
      </c>
      <c r="B160" s="213" t="s">
        <v>900</v>
      </c>
      <c r="C160" s="251">
        <v>0</v>
      </c>
      <c r="D160" s="206"/>
      <c r="E160" s="214"/>
      <c r="F160" s="251">
        <v>0</v>
      </c>
      <c r="G160" s="206"/>
      <c r="H160" s="214"/>
      <c r="I160" s="1">
        <f t="shared" si="4"/>
        <v>0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>
      <c r="A161" s="212">
        <v>5030</v>
      </c>
      <c r="B161" s="213" t="s">
        <v>866</v>
      </c>
      <c r="C161" s="251">
        <v>0</v>
      </c>
      <c r="D161" s="206"/>
      <c r="E161" s="214"/>
      <c r="F161" s="251">
        <v>4900</v>
      </c>
      <c r="G161" s="206"/>
      <c r="H161" s="214"/>
      <c r="I161" s="1">
        <f t="shared" si="4"/>
        <v>-4900</v>
      </c>
      <c r="J161" s="1">
        <f t="shared" si="4"/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4.4">
      <c r="A162" s="215">
        <v>5090</v>
      </c>
      <c r="B162" s="216" t="s">
        <v>771</v>
      </c>
      <c r="C162" s="251">
        <v>45220.83</v>
      </c>
      <c r="D162" s="206"/>
      <c r="E162" s="214"/>
      <c r="F162" s="251">
        <v>44684.59</v>
      </c>
      <c r="G162" s="206"/>
      <c r="H162" s="214"/>
      <c r="I162" s="1">
        <f t="shared" si="4"/>
        <v>536.24000000000524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 ht="14.4">
      <c r="A163" s="215">
        <v>5095</v>
      </c>
      <c r="B163" s="216" t="s">
        <v>867</v>
      </c>
      <c r="C163" s="251">
        <v>0</v>
      </c>
      <c r="D163" s="206"/>
      <c r="E163" s="214"/>
      <c r="F163" s="251">
        <v>-4900</v>
      </c>
      <c r="G163" s="206"/>
      <c r="H163" s="214"/>
      <c r="I163" s="1">
        <f t="shared" si="4"/>
        <v>4900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5250</v>
      </c>
      <c r="B164" s="213" t="s">
        <v>600</v>
      </c>
      <c r="C164" s="251">
        <v>6148.34</v>
      </c>
      <c r="D164" s="206"/>
      <c r="E164" s="214"/>
      <c r="F164" s="251">
        <v>7657.5</v>
      </c>
      <c r="G164" s="206"/>
      <c r="H164" s="214"/>
      <c r="I164" s="1">
        <f t="shared" si="4"/>
        <v>-1509.1599999999999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5270</v>
      </c>
      <c r="B165" s="213" t="s">
        <v>601</v>
      </c>
      <c r="C165" s="251">
        <v>4026</v>
      </c>
      <c r="D165" s="206" t="s">
        <v>374</v>
      </c>
      <c r="E165" s="214"/>
      <c r="F165" s="251">
        <v>4392</v>
      </c>
      <c r="G165" s="206"/>
      <c r="H165" s="214"/>
      <c r="I165" s="1">
        <f t="shared" si="4"/>
        <v>-366</v>
      </c>
      <c r="J165" s="1"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5290</v>
      </c>
      <c r="B166" s="213" t="s">
        <v>602</v>
      </c>
      <c r="C166" s="251">
        <v>-10174.34</v>
      </c>
      <c r="D166" s="206"/>
      <c r="E166" s="214"/>
      <c r="F166" s="251">
        <v>-12049.5</v>
      </c>
      <c r="G166" s="206"/>
      <c r="H166" s="214"/>
      <c r="I166" s="1">
        <f t="shared" si="4"/>
        <v>1875.1599999999999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 ht="14.4">
      <c r="A167" s="215">
        <v>5310</v>
      </c>
      <c r="B167" s="216" t="s">
        <v>772</v>
      </c>
      <c r="C167" s="251">
        <v>0</v>
      </c>
      <c r="D167" s="206"/>
      <c r="E167" s="214"/>
      <c r="F167" s="251">
        <v>899.9</v>
      </c>
      <c r="G167" s="206"/>
      <c r="H167" s="214"/>
      <c r="I167" s="1">
        <f t="shared" si="4"/>
        <v>-899.9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 ht="14.4">
      <c r="A168" s="215">
        <v>5320</v>
      </c>
      <c r="B168" s="343" t="s">
        <v>901</v>
      </c>
      <c r="C168" s="251">
        <v>0</v>
      </c>
      <c r="D168" s="206"/>
      <c r="E168" s="214"/>
      <c r="F168" s="251">
        <v>107</v>
      </c>
      <c r="G168" s="206"/>
      <c r="H168" s="214"/>
      <c r="I168" s="1">
        <f t="shared" si="4"/>
        <v>-107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5330</v>
      </c>
      <c r="B169" s="213" t="s">
        <v>705</v>
      </c>
      <c r="C169" s="251">
        <v>0</v>
      </c>
      <c r="D169" s="206"/>
      <c r="E169" s="214"/>
      <c r="F169" s="251">
        <v>0</v>
      </c>
      <c r="G169" s="206"/>
      <c r="H169" s="214"/>
      <c r="I169" s="1">
        <f t="shared" si="4"/>
        <v>0</v>
      </c>
      <c r="J169" s="1">
        <f t="shared" si="4"/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5350</v>
      </c>
      <c r="B170" s="213" t="s">
        <v>603</v>
      </c>
      <c r="C170" s="251">
        <v>45444</v>
      </c>
      <c r="D170" s="206"/>
      <c r="E170" s="214"/>
      <c r="F170" s="251">
        <v>35312.550000000003</v>
      </c>
      <c r="G170" s="206"/>
      <c r="H170" s="214"/>
      <c r="I170" s="1">
        <f t="shared" si="4"/>
        <v>10131.449999999997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5400</v>
      </c>
      <c r="B171" s="213" t="s">
        <v>232</v>
      </c>
      <c r="C171" s="251">
        <v>99464.51</v>
      </c>
      <c r="D171" s="206"/>
      <c r="E171" s="214"/>
      <c r="F171" s="251">
        <v>125452.63</v>
      </c>
      <c r="G171" s="206"/>
      <c r="H171" s="214"/>
      <c r="I171" s="1">
        <f t="shared" si="4"/>
        <v>-25988.12000000001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5401</v>
      </c>
      <c r="B172" s="213" t="s">
        <v>605</v>
      </c>
      <c r="C172" s="251">
        <v>6376.14</v>
      </c>
      <c r="D172" s="206"/>
      <c r="E172" s="214"/>
      <c r="F172" s="251">
        <v>6300.53</v>
      </c>
      <c r="G172" s="206"/>
      <c r="H172" s="214"/>
      <c r="I172" s="1">
        <f t="shared" si="4"/>
        <v>75.610000000000582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5800</v>
      </c>
      <c r="B173" s="213" t="s">
        <v>706</v>
      </c>
      <c r="C173" s="251">
        <v>0</v>
      </c>
      <c r="D173" s="206"/>
      <c r="E173" s="214"/>
      <c r="F173" s="251">
        <v>0</v>
      </c>
      <c r="G173" s="206"/>
      <c r="H173" s="214"/>
      <c r="I173" s="1">
        <f t="shared" si="4"/>
        <v>0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>
        <v>5801</v>
      </c>
      <c r="B174" s="213" t="s">
        <v>707</v>
      </c>
      <c r="C174" s="251">
        <v>0</v>
      </c>
      <c r="D174" s="206"/>
      <c r="E174" s="214"/>
      <c r="F174" s="251">
        <v>0</v>
      </c>
      <c r="G174" s="206"/>
      <c r="H174" s="214"/>
      <c r="I174" s="1">
        <f t="shared" si="4"/>
        <v>0</v>
      </c>
      <c r="J174" s="1">
        <f t="shared" si="4"/>
        <v>0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>
        <v>5802</v>
      </c>
      <c r="B175" s="213" t="s">
        <v>708</v>
      </c>
      <c r="C175" s="251">
        <v>0</v>
      </c>
      <c r="D175" s="206"/>
      <c r="E175" s="214"/>
      <c r="F175" s="251">
        <v>0</v>
      </c>
      <c r="G175" s="206"/>
      <c r="H175" s="214"/>
      <c r="I175" s="1">
        <f t="shared" si="4"/>
        <v>0</v>
      </c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5900</v>
      </c>
      <c r="B176" s="218" t="s">
        <v>835</v>
      </c>
      <c r="C176" s="251">
        <v>1142.2</v>
      </c>
      <c r="D176" s="206"/>
      <c r="E176" s="214"/>
      <c r="F176" s="251">
        <v>1138.5</v>
      </c>
      <c r="G176" s="206"/>
      <c r="H176" s="214"/>
      <c r="I176" s="1">
        <f t="shared" si="4"/>
        <v>3.7000000000000455</v>
      </c>
      <c r="J176" s="1">
        <f t="shared" si="4"/>
        <v>0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5901</v>
      </c>
      <c r="B177" s="218" t="s">
        <v>933</v>
      </c>
      <c r="C177" s="251">
        <v>1155</v>
      </c>
      <c r="D177" s="206"/>
      <c r="E177" s="214"/>
      <c r="F177" s="251">
        <v>0</v>
      </c>
      <c r="G177" s="206"/>
      <c r="H177" s="214"/>
      <c r="I177" s="1">
        <f t="shared" si="4"/>
        <v>1155</v>
      </c>
      <c r="J177" s="1">
        <f t="shared" si="4"/>
        <v>0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5910</v>
      </c>
      <c r="B178" s="213" t="s">
        <v>836</v>
      </c>
      <c r="C178" s="251">
        <v>0</v>
      </c>
      <c r="D178" s="206"/>
      <c r="E178" s="214"/>
      <c r="F178" s="251">
        <v>267</v>
      </c>
      <c r="G178" s="206"/>
      <c r="H178" s="214"/>
      <c r="I178" s="1">
        <f t="shared" si="4"/>
        <v>-267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5945</v>
      </c>
      <c r="B179" s="213" t="s">
        <v>607</v>
      </c>
      <c r="C179" s="251">
        <v>6148.34</v>
      </c>
      <c r="D179" s="206"/>
      <c r="E179" s="214"/>
      <c r="F179" s="251">
        <v>6895.29</v>
      </c>
      <c r="G179" s="206"/>
      <c r="H179" s="214"/>
      <c r="I179" s="1">
        <f t="shared" si="4"/>
        <v>-746.94999999999982</v>
      </c>
      <c r="J179" s="1">
        <f t="shared" si="4"/>
        <v>0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>
      <c r="A180" s="212">
        <v>5990</v>
      </c>
      <c r="B180" s="213" t="s">
        <v>608</v>
      </c>
      <c r="C180" s="251">
        <v>3124</v>
      </c>
      <c r="D180" s="206"/>
      <c r="E180" s="214"/>
      <c r="F180" s="251">
        <v>11462.88</v>
      </c>
      <c r="G180" s="226"/>
      <c r="H180" s="214"/>
      <c r="I180" s="1">
        <f t="shared" si="4"/>
        <v>-8338.8799999999992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/>
      <c r="B181" s="213" t="s">
        <v>609</v>
      </c>
      <c r="C181" s="251">
        <f>SUM(C157:C180)</f>
        <v>930328.1</v>
      </c>
      <c r="D181" s="235">
        <f>C181</f>
        <v>930328.1</v>
      </c>
      <c r="E181" s="214"/>
      <c r="F181" s="251">
        <f>SUM(F157:F180)</f>
        <v>1104298.3600000001</v>
      </c>
      <c r="G181" s="235">
        <f>F181</f>
        <v>1104298.3600000001</v>
      </c>
      <c r="H181" s="214"/>
      <c r="I181" s="1">
        <f t="shared" si="4"/>
        <v>-173970.26000000013</v>
      </c>
      <c r="J181" s="1">
        <f t="shared" si="4"/>
        <v>-173970.26000000013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/>
      <c r="B182" s="213"/>
      <c r="C182" s="241" t="s">
        <v>374</v>
      </c>
      <c r="D182" s="206"/>
      <c r="E182" s="214"/>
      <c r="F182" s="241"/>
      <c r="G182" s="206"/>
      <c r="H182" s="214"/>
      <c r="I182" s="1"/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6000</v>
      </c>
      <c r="B183" s="218" t="s">
        <v>934</v>
      </c>
      <c r="C183" s="252">
        <v>17771.87</v>
      </c>
      <c r="D183" s="236"/>
      <c r="E183" s="214"/>
      <c r="F183" s="252">
        <v>0</v>
      </c>
      <c r="G183" s="236"/>
      <c r="H183" s="214"/>
      <c r="I183" s="1">
        <f t="shared" si="4"/>
        <v>17771.87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6010</v>
      </c>
      <c r="B184" s="218" t="s">
        <v>247</v>
      </c>
      <c r="C184" s="252">
        <v>144702.48000000001</v>
      </c>
      <c r="D184" s="236"/>
      <c r="E184" s="214"/>
      <c r="F184" s="252">
        <v>123758.82</v>
      </c>
      <c r="G184" s="236"/>
      <c r="H184" s="214"/>
      <c r="I184" s="1">
        <f t="shared" si="4"/>
        <v>20943.660000000003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6015</v>
      </c>
      <c r="B185" s="218" t="s">
        <v>837</v>
      </c>
      <c r="C185" s="252">
        <v>13803</v>
      </c>
      <c r="D185" s="236"/>
      <c r="E185" s="214"/>
      <c r="F185" s="252">
        <v>20703</v>
      </c>
      <c r="G185" s="236"/>
      <c r="H185" s="214"/>
      <c r="I185" s="1">
        <f t="shared" si="4"/>
        <v>-6900</v>
      </c>
      <c r="J185" s="1">
        <f t="shared" si="4"/>
        <v>0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>
      <c r="A186" s="212">
        <v>6017</v>
      </c>
      <c r="B186" s="218" t="s">
        <v>935</v>
      </c>
      <c r="C186" s="252">
        <v>72083.42</v>
      </c>
      <c r="D186" s="236">
        <f>SUM(C183:C186)</f>
        <v>248360.77000000002</v>
      </c>
      <c r="E186" s="214"/>
      <c r="F186" s="252">
        <v>0</v>
      </c>
      <c r="G186" s="236">
        <f>SUM(F183:F186)</f>
        <v>144461.82</v>
      </c>
      <c r="H186" s="214"/>
      <c r="I186" s="1">
        <f t="shared" si="4"/>
        <v>72083.42</v>
      </c>
      <c r="J186" s="1">
        <f t="shared" si="4"/>
        <v>103898.95000000001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>
      <c r="A187" s="212">
        <v>6100</v>
      </c>
      <c r="B187" s="213" t="s">
        <v>838</v>
      </c>
      <c r="C187" s="246">
        <v>0</v>
      </c>
      <c r="D187" s="230"/>
      <c r="E187" s="214"/>
      <c r="F187" s="246">
        <v>0</v>
      </c>
      <c r="G187" s="230"/>
      <c r="H187" s="214"/>
      <c r="I187" s="1">
        <f t="shared" si="4"/>
        <v>0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6110</v>
      </c>
      <c r="B188" s="213" t="s">
        <v>610</v>
      </c>
      <c r="C188" s="246">
        <v>4999</v>
      </c>
      <c r="D188" s="206"/>
      <c r="E188" s="214"/>
      <c r="F188" s="246">
        <v>2122</v>
      </c>
      <c r="G188" s="206"/>
      <c r="H188" s="214"/>
      <c r="I188" s="1">
        <f t="shared" si="4"/>
        <v>2877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 ht="14.4">
      <c r="A189" s="215">
        <v>6300</v>
      </c>
      <c r="B189" s="216" t="s">
        <v>773</v>
      </c>
      <c r="C189" s="246">
        <v>47999</v>
      </c>
      <c r="D189" s="206"/>
      <c r="E189" s="214"/>
      <c r="F189" s="246">
        <v>51216.639999999999</v>
      </c>
      <c r="G189" s="206"/>
      <c r="H189" s="214"/>
      <c r="I189" s="1">
        <f t="shared" si="4"/>
        <v>-3217.6399999999994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>
      <c r="A190" s="212">
        <v>6320</v>
      </c>
      <c r="B190" s="213" t="s">
        <v>611</v>
      </c>
      <c r="C190" s="246">
        <v>41583.019999999997</v>
      </c>
      <c r="D190" s="206"/>
      <c r="E190" s="214"/>
      <c r="F190" s="246">
        <v>34919.5</v>
      </c>
      <c r="G190" s="206"/>
      <c r="H190" s="214"/>
      <c r="I190" s="1">
        <f t="shared" si="4"/>
        <v>6663.5199999999968</v>
      </c>
      <c r="J190" s="1">
        <f t="shared" si="4"/>
        <v>0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>
      <c r="A191" s="212">
        <v>6340</v>
      </c>
      <c r="B191" s="213" t="s">
        <v>253</v>
      </c>
      <c r="C191" s="246">
        <v>-1946.39</v>
      </c>
      <c r="D191" s="206"/>
      <c r="E191" s="214"/>
      <c r="F191" s="246">
        <v>-1245.2</v>
      </c>
      <c r="G191" s="206"/>
      <c r="H191" s="214"/>
      <c r="I191" s="1">
        <f t="shared" si="4"/>
        <v>-701.19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>
      <c r="A192" s="212">
        <v>6360</v>
      </c>
      <c r="B192" s="213" t="s">
        <v>255</v>
      </c>
      <c r="C192" s="246">
        <v>1958.14</v>
      </c>
      <c r="D192" s="206"/>
      <c r="E192" s="214"/>
      <c r="F192" s="246">
        <v>2693.75</v>
      </c>
      <c r="G192" s="206"/>
      <c r="H192" s="214"/>
      <c r="I192" s="1">
        <f t="shared" si="4"/>
        <v>-735.6099999999999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6390</v>
      </c>
      <c r="B193" s="213" t="s">
        <v>612</v>
      </c>
      <c r="C193" s="246">
        <v>0</v>
      </c>
      <c r="D193" s="206"/>
      <c r="E193" s="214"/>
      <c r="F193" s="246">
        <v>0</v>
      </c>
      <c r="G193" s="206"/>
      <c r="H193" s="214"/>
      <c r="I193" s="1">
        <f t="shared" si="4"/>
        <v>0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6420</v>
      </c>
      <c r="B194" s="213" t="s">
        <v>614</v>
      </c>
      <c r="C194" s="246">
        <v>0</v>
      </c>
      <c r="D194" s="206"/>
      <c r="E194" s="214"/>
      <c r="F194" s="246">
        <v>0</v>
      </c>
      <c r="G194" s="206"/>
      <c r="H194" s="214"/>
      <c r="I194" s="1">
        <f t="shared" si="4"/>
        <v>0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 ht="14.4">
      <c r="A195" s="215">
        <v>6440</v>
      </c>
      <c r="B195" s="216" t="s">
        <v>774</v>
      </c>
      <c r="C195" s="246">
        <v>45830.29</v>
      </c>
      <c r="D195" s="206"/>
      <c r="E195" s="214"/>
      <c r="F195" s="246">
        <v>65758.11</v>
      </c>
      <c r="G195" s="206"/>
      <c r="H195" s="214"/>
      <c r="I195" s="1">
        <f t="shared" si="4"/>
        <v>-19927.82</v>
      </c>
      <c r="J195" s="1">
        <f t="shared" si="4"/>
        <v>0</v>
      </c>
      <c r="K195" s="1">
        <f t="shared" si="3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 ht="14.4">
      <c r="A196" s="215">
        <v>6490</v>
      </c>
      <c r="B196" s="216" t="s">
        <v>775</v>
      </c>
      <c r="C196" s="246">
        <v>7240</v>
      </c>
      <c r="D196" s="206"/>
      <c r="E196" s="214"/>
      <c r="F196" s="246">
        <v>6435</v>
      </c>
      <c r="G196" s="206"/>
      <c r="H196" s="214"/>
      <c r="I196" s="1">
        <f t="shared" si="4"/>
        <v>805</v>
      </c>
      <c r="J196" s="1">
        <f t="shared" si="4"/>
        <v>0</v>
      </c>
      <c r="K196" s="1">
        <f t="shared" si="3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6540</v>
      </c>
      <c r="B197" s="213" t="s">
        <v>14</v>
      </c>
      <c r="C197" s="246">
        <v>1898</v>
      </c>
      <c r="D197" s="206"/>
      <c r="E197" s="214"/>
      <c r="F197" s="246">
        <v>12093</v>
      </c>
      <c r="G197" s="206"/>
      <c r="H197" s="214"/>
      <c r="I197" s="1">
        <f t="shared" si="4"/>
        <v>-10195</v>
      </c>
      <c r="J197" s="1">
        <f t="shared" si="4"/>
        <v>0</v>
      </c>
      <c r="K197" s="1">
        <f t="shared" si="3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6550</v>
      </c>
      <c r="B198" s="213" t="s">
        <v>616</v>
      </c>
      <c r="C198" s="246">
        <v>17773.490000000002</v>
      </c>
      <c r="D198" s="206"/>
      <c r="E198" s="214"/>
      <c r="F198" s="246">
        <v>20276.400000000001</v>
      </c>
      <c r="G198" s="206"/>
      <c r="H198" s="214"/>
      <c r="I198" s="1">
        <f t="shared" si="4"/>
        <v>-2502.91</v>
      </c>
      <c r="J198" s="1">
        <f t="shared" si="4"/>
        <v>0</v>
      </c>
      <c r="K198" s="1">
        <f t="shared" si="3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 ht="14.4">
      <c r="A199" s="215">
        <v>6570</v>
      </c>
      <c r="B199" s="216" t="s">
        <v>776</v>
      </c>
      <c r="C199" s="246">
        <v>0</v>
      </c>
      <c r="D199" s="206"/>
      <c r="E199" s="214"/>
      <c r="F199" s="246">
        <v>8180.8</v>
      </c>
      <c r="G199" s="206"/>
      <c r="H199" s="214"/>
      <c r="I199" s="1">
        <f t="shared" si="4"/>
        <v>-8180.8</v>
      </c>
      <c r="J199" s="1">
        <f t="shared" si="4"/>
        <v>0</v>
      </c>
      <c r="K199" s="1">
        <f t="shared" si="3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 ht="14.4">
      <c r="A200" s="215">
        <v>6590</v>
      </c>
      <c r="B200" s="216" t="s">
        <v>777</v>
      </c>
      <c r="C200" s="246">
        <v>0</v>
      </c>
      <c r="D200" s="206"/>
      <c r="E200" s="214"/>
      <c r="F200" s="246">
        <v>12000</v>
      </c>
      <c r="G200" s="206"/>
      <c r="H200" s="214"/>
      <c r="I200" s="1">
        <f t="shared" si="4"/>
        <v>-12000</v>
      </c>
      <c r="J200" s="1">
        <f t="shared" si="4"/>
        <v>0</v>
      </c>
      <c r="K200" s="1">
        <f t="shared" si="3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 ht="14.4">
      <c r="A201" s="215">
        <v>6600</v>
      </c>
      <c r="B201" s="216" t="s">
        <v>617</v>
      </c>
      <c r="C201" s="246">
        <v>0</v>
      </c>
      <c r="D201" s="206"/>
      <c r="E201" s="214"/>
      <c r="F201" s="246">
        <v>4820</v>
      </c>
      <c r="G201" s="206"/>
      <c r="H201" s="214"/>
      <c r="I201" s="1">
        <f t="shared" si="4"/>
        <v>-4820</v>
      </c>
      <c r="J201" s="1">
        <f t="shared" si="4"/>
        <v>0</v>
      </c>
      <c r="K201" s="1">
        <f t="shared" si="3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6620</v>
      </c>
      <c r="B202" s="213" t="s">
        <v>618</v>
      </c>
      <c r="C202" s="246">
        <v>36810.910000000003</v>
      </c>
      <c r="D202" s="206"/>
      <c r="E202" s="214"/>
      <c r="F202" s="246">
        <v>8901.64</v>
      </c>
      <c r="G202" s="206"/>
      <c r="H202" s="214"/>
      <c r="I202" s="1">
        <f t="shared" si="4"/>
        <v>27909.270000000004</v>
      </c>
      <c r="J202" s="1">
        <f t="shared" si="4"/>
        <v>0</v>
      </c>
      <c r="K202" s="1">
        <f t="shared" si="3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6700</v>
      </c>
      <c r="B203" s="213" t="s">
        <v>619</v>
      </c>
      <c r="C203" s="246">
        <v>62312.5</v>
      </c>
      <c r="D203" s="206"/>
      <c r="E203" s="214"/>
      <c r="F203" s="246">
        <v>50912.5</v>
      </c>
      <c r="G203" s="206"/>
      <c r="H203" s="214"/>
      <c r="I203" s="1">
        <f t="shared" si="4"/>
        <v>11400</v>
      </c>
      <c r="J203" s="1">
        <f t="shared" si="4"/>
        <v>0</v>
      </c>
      <c r="K203" s="1">
        <f t="shared" si="3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6712</v>
      </c>
      <c r="B204" s="213" t="s">
        <v>620</v>
      </c>
      <c r="C204" s="246">
        <v>529580</v>
      </c>
      <c r="D204" s="206"/>
      <c r="E204" s="214"/>
      <c r="F204" s="246">
        <v>489488</v>
      </c>
      <c r="G204" s="206"/>
      <c r="H204" s="214"/>
      <c r="I204" s="1">
        <f t="shared" si="4"/>
        <v>40092</v>
      </c>
      <c r="J204" s="1">
        <f t="shared" si="4"/>
        <v>0</v>
      </c>
      <c r="K204" s="1">
        <f t="shared" si="4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6730</v>
      </c>
      <c r="B205" s="213" t="s">
        <v>279</v>
      </c>
      <c r="C205" s="246">
        <v>85825</v>
      </c>
      <c r="D205" s="206"/>
      <c r="E205" s="214"/>
      <c r="F205" s="246">
        <v>89868.81</v>
      </c>
      <c r="G205" s="206"/>
      <c r="H205" s="214"/>
      <c r="I205" s="1">
        <f t="shared" si="4"/>
        <v>-4043.8099999999977</v>
      </c>
      <c r="J205" s="1">
        <f t="shared" si="4"/>
        <v>0</v>
      </c>
      <c r="K205" s="1">
        <f t="shared" si="4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>
      <c r="A206" s="212">
        <v>6790</v>
      </c>
      <c r="B206" s="213" t="s">
        <v>621</v>
      </c>
      <c r="C206" s="246">
        <v>63500</v>
      </c>
      <c r="D206" s="206"/>
      <c r="E206" s="214"/>
      <c r="F206" s="246">
        <v>9650</v>
      </c>
      <c r="G206" s="206"/>
      <c r="H206" s="214"/>
      <c r="I206" s="1">
        <f t="shared" si="4"/>
        <v>53850</v>
      </c>
      <c r="J206" s="1">
        <f t="shared" si="4"/>
        <v>0</v>
      </c>
      <c r="K206" s="1">
        <f t="shared" si="4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6800</v>
      </c>
      <c r="B207" s="213" t="s">
        <v>287</v>
      </c>
      <c r="C207" s="246">
        <v>6406.68</v>
      </c>
      <c r="D207" s="206"/>
      <c r="E207" s="214"/>
      <c r="F207" s="246">
        <v>2280</v>
      </c>
      <c r="G207" s="206"/>
      <c r="H207" s="214"/>
      <c r="I207" s="1">
        <f t="shared" si="4"/>
        <v>4126.68</v>
      </c>
      <c r="J207" s="1">
        <f t="shared" si="4"/>
        <v>0</v>
      </c>
      <c r="K207" s="1">
        <f t="shared" si="4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>
      <c r="A208" s="212">
        <v>6810</v>
      </c>
      <c r="B208" s="213" t="s">
        <v>622</v>
      </c>
      <c r="C208" s="246">
        <v>2830.88</v>
      </c>
      <c r="D208" s="206"/>
      <c r="E208" s="214"/>
      <c r="F208" s="246">
        <v>600</v>
      </c>
      <c r="G208" s="206"/>
      <c r="H208" s="214"/>
      <c r="I208" s="1">
        <f t="shared" si="4"/>
        <v>2230.88</v>
      </c>
      <c r="J208" s="1">
        <f t="shared" si="4"/>
        <v>0</v>
      </c>
      <c r="K208" s="1">
        <f t="shared" si="4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6811</v>
      </c>
      <c r="B209" s="213" t="s">
        <v>623</v>
      </c>
      <c r="C209" s="246">
        <v>24110.38</v>
      </c>
      <c r="D209" s="206"/>
      <c r="E209" s="214"/>
      <c r="F209" s="246">
        <v>51286.33</v>
      </c>
      <c r="G209" s="206"/>
      <c r="H209" s="214"/>
      <c r="I209" s="1">
        <f t="shared" si="4"/>
        <v>-27175.95</v>
      </c>
      <c r="J209" s="1">
        <f t="shared" si="4"/>
        <v>0</v>
      </c>
      <c r="K209" s="1">
        <f t="shared" si="4"/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6820</v>
      </c>
      <c r="B210" s="213" t="s">
        <v>624</v>
      </c>
      <c r="C210" s="246">
        <v>1818.4</v>
      </c>
      <c r="D210" s="206"/>
      <c r="E210" s="214"/>
      <c r="F210" s="246">
        <v>11984.5</v>
      </c>
      <c r="G210" s="206"/>
      <c r="H210" s="214"/>
      <c r="I210" s="1">
        <f t="shared" si="4"/>
        <v>-10166.1</v>
      </c>
      <c r="J210" s="1">
        <f t="shared" si="4"/>
        <v>0</v>
      </c>
      <c r="K210" s="1">
        <f t="shared" si="4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6840</v>
      </c>
      <c r="B211" s="213" t="s">
        <v>625</v>
      </c>
      <c r="C211" s="246">
        <v>0</v>
      </c>
      <c r="D211" s="206"/>
      <c r="E211" s="214"/>
      <c r="F211" s="246">
        <v>1629</v>
      </c>
      <c r="G211" s="206"/>
      <c r="H211" s="214"/>
      <c r="I211" s="1">
        <f t="shared" ref="I211:K254" si="5">C211-F211</f>
        <v>-1629</v>
      </c>
      <c r="J211" s="1">
        <f t="shared" si="5"/>
        <v>0</v>
      </c>
      <c r="K211" s="1">
        <f t="shared" si="5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6860</v>
      </c>
      <c r="B212" s="213" t="s">
        <v>626</v>
      </c>
      <c r="C212" s="246">
        <v>5400</v>
      </c>
      <c r="D212" s="206"/>
      <c r="E212" s="214"/>
      <c r="F212" s="246">
        <v>23585</v>
      </c>
      <c r="G212" s="206"/>
      <c r="H212" s="214"/>
      <c r="I212" s="1">
        <f t="shared" si="5"/>
        <v>-18185</v>
      </c>
      <c r="J212" s="1">
        <f t="shared" si="5"/>
        <v>0</v>
      </c>
      <c r="K212" s="1">
        <f t="shared" si="5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6900</v>
      </c>
      <c r="B213" s="213" t="s">
        <v>297</v>
      </c>
      <c r="C213" s="246">
        <v>4516.22</v>
      </c>
      <c r="D213" s="206"/>
      <c r="E213" s="214"/>
      <c r="F213" s="246">
        <v>6479.79</v>
      </c>
      <c r="G213" s="206"/>
      <c r="H213" s="214"/>
      <c r="I213" s="1">
        <f t="shared" si="5"/>
        <v>-1963.5699999999997</v>
      </c>
      <c r="J213" s="1">
        <f t="shared" si="5"/>
        <v>0</v>
      </c>
      <c r="K213" s="1">
        <f t="shared" si="5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6940</v>
      </c>
      <c r="B214" s="213" t="s">
        <v>299</v>
      </c>
      <c r="C214" s="246">
        <v>0</v>
      </c>
      <c r="D214" s="206"/>
      <c r="E214" s="214"/>
      <c r="F214" s="246">
        <v>120</v>
      </c>
      <c r="G214" s="206"/>
      <c r="H214" s="214"/>
      <c r="I214" s="1">
        <f t="shared" si="5"/>
        <v>-120</v>
      </c>
      <c r="J214" s="1">
        <f t="shared" si="5"/>
        <v>0</v>
      </c>
      <c r="K214" s="1">
        <f t="shared" si="5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 ht="14.4">
      <c r="A215" s="215">
        <v>7000</v>
      </c>
      <c r="B215" s="216" t="s">
        <v>778</v>
      </c>
      <c r="C215" s="246">
        <v>0</v>
      </c>
      <c r="D215" s="206"/>
      <c r="E215" s="214"/>
      <c r="F215" s="246">
        <v>0</v>
      </c>
      <c r="G215" s="206"/>
      <c r="H215" s="214"/>
      <c r="I215" s="1">
        <f t="shared" si="5"/>
        <v>0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7100</v>
      </c>
      <c r="B216" s="213" t="s">
        <v>627</v>
      </c>
      <c r="C216" s="246">
        <v>20922.849999999999</v>
      </c>
      <c r="D216" s="206"/>
      <c r="E216" s="214"/>
      <c r="F216" s="246">
        <v>50326.65</v>
      </c>
      <c r="G216" s="206"/>
      <c r="H216" s="214"/>
      <c r="I216" s="1">
        <f t="shared" si="5"/>
        <v>-29403.800000000003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 ht="14.4">
      <c r="A217" s="215">
        <v>7101</v>
      </c>
      <c r="B217" s="216" t="s">
        <v>779</v>
      </c>
      <c r="C217" s="246">
        <v>151</v>
      </c>
      <c r="D217" s="206"/>
      <c r="E217" s="214"/>
      <c r="F217" s="253">
        <v>4488.7</v>
      </c>
      <c r="G217" s="206"/>
      <c r="H217" s="214"/>
      <c r="I217" s="1">
        <f t="shared" si="5"/>
        <v>-4337.7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7110</v>
      </c>
      <c r="B218" s="213" t="s">
        <v>309</v>
      </c>
      <c r="C218" s="246">
        <v>0</v>
      </c>
      <c r="D218" s="206"/>
      <c r="E218" s="214"/>
      <c r="F218" s="246">
        <v>0</v>
      </c>
      <c r="G218" s="206"/>
      <c r="H218" s="214" t="s">
        <v>374</v>
      </c>
      <c r="I218" s="1">
        <f t="shared" si="5"/>
        <v>0</v>
      </c>
      <c r="J218" s="1">
        <f t="shared" si="5"/>
        <v>0</v>
      </c>
      <c r="K218" s="1"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7140</v>
      </c>
      <c r="B219" s="213" t="s">
        <v>709</v>
      </c>
      <c r="C219" s="246">
        <v>205865.66</v>
      </c>
      <c r="D219" s="206"/>
      <c r="E219" s="214"/>
      <c r="F219" s="246">
        <v>239802.96</v>
      </c>
      <c r="G219" s="206"/>
      <c r="H219" s="214"/>
      <c r="I219" s="1">
        <f t="shared" si="5"/>
        <v>-33937.299999999988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7150</v>
      </c>
      <c r="B220" s="213" t="s">
        <v>710</v>
      </c>
      <c r="C220" s="246">
        <v>7315.83</v>
      </c>
      <c r="D220" s="206"/>
      <c r="E220" s="214"/>
      <c r="F220" s="246">
        <v>13533.2</v>
      </c>
      <c r="G220" s="206"/>
      <c r="H220" s="214"/>
      <c r="I220" s="1">
        <f t="shared" si="5"/>
        <v>-6217.3700000000008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7155</v>
      </c>
      <c r="B221" s="213" t="s">
        <v>869</v>
      </c>
      <c r="C221" s="246">
        <v>3871.86</v>
      </c>
      <c r="D221" s="206"/>
      <c r="E221" s="214"/>
      <c r="F221" s="246">
        <v>8847.6</v>
      </c>
      <c r="G221" s="206"/>
      <c r="H221" s="214"/>
      <c r="I221" s="1">
        <f t="shared" si="5"/>
        <v>-4975.74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7160</v>
      </c>
      <c r="B222" s="213" t="s">
        <v>311</v>
      </c>
      <c r="C222" s="246">
        <v>250</v>
      </c>
      <c r="D222" s="206"/>
      <c r="E222" s="214"/>
      <c r="F222" s="246">
        <v>952</v>
      </c>
      <c r="G222" s="206"/>
      <c r="H222" s="214"/>
      <c r="I222" s="1">
        <f t="shared" si="5"/>
        <v>-702</v>
      </c>
      <c r="J222" s="1">
        <f t="shared" si="5"/>
        <v>0</v>
      </c>
      <c r="K222" s="1">
        <f t="shared" si="5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7170</v>
      </c>
      <c r="B223" s="213" t="s">
        <v>313</v>
      </c>
      <c r="C223" s="246">
        <v>0</v>
      </c>
      <c r="D223" s="206"/>
      <c r="E223" s="214"/>
      <c r="F223" s="246">
        <v>0</v>
      </c>
      <c r="G223" s="206"/>
      <c r="H223" s="214"/>
      <c r="I223" s="1">
        <f t="shared" si="5"/>
        <v>0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7180</v>
      </c>
      <c r="B224" s="213" t="s">
        <v>315</v>
      </c>
      <c r="C224" s="246">
        <v>0</v>
      </c>
      <c r="D224" s="206"/>
      <c r="E224" s="214"/>
      <c r="F224" s="246">
        <v>0</v>
      </c>
      <c r="G224" s="206"/>
      <c r="H224" s="214"/>
      <c r="I224" s="1">
        <f t="shared" si="5"/>
        <v>0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7300</v>
      </c>
      <c r="B225" s="213" t="s">
        <v>711</v>
      </c>
      <c r="C225" s="246">
        <v>0</v>
      </c>
      <c r="D225" s="206"/>
      <c r="E225" s="214"/>
      <c r="F225" s="246">
        <v>0</v>
      </c>
      <c r="G225" s="206"/>
      <c r="H225" s="214"/>
      <c r="I225" s="1">
        <f t="shared" si="5"/>
        <v>0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7320</v>
      </c>
      <c r="B226" s="213" t="s">
        <v>629</v>
      </c>
      <c r="C226" s="246">
        <v>18983.32</v>
      </c>
      <c r="D226" s="206"/>
      <c r="E226" s="214"/>
      <c r="F226" s="246">
        <v>37904.89</v>
      </c>
      <c r="G226" s="206"/>
      <c r="H226" s="214"/>
      <c r="I226" s="1">
        <f t="shared" si="5"/>
        <v>-18921.57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>
      <c r="A227" s="212">
        <v>7390</v>
      </c>
      <c r="B227" s="218" t="s">
        <v>936</v>
      </c>
      <c r="C227" s="246">
        <v>101710.56</v>
      </c>
      <c r="D227" s="206"/>
      <c r="E227" s="214"/>
      <c r="F227" s="246">
        <v>0</v>
      </c>
      <c r="G227" s="206"/>
      <c r="H227" s="214"/>
      <c r="I227" s="1">
        <f t="shared" si="5"/>
        <v>101710.56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7400</v>
      </c>
      <c r="B228" s="213" t="s">
        <v>712</v>
      </c>
      <c r="C228" s="246">
        <v>0</v>
      </c>
      <c r="D228" s="206"/>
      <c r="E228" s="214"/>
      <c r="F228" s="246">
        <v>0</v>
      </c>
      <c r="G228" s="206"/>
      <c r="H228" s="214"/>
      <c r="I228" s="1">
        <f t="shared" si="5"/>
        <v>0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12">
        <v>7410</v>
      </c>
      <c r="B229" s="213" t="s">
        <v>323</v>
      </c>
      <c r="C229" s="246">
        <v>0</v>
      </c>
      <c r="D229" s="206"/>
      <c r="E229" s="214"/>
      <c r="F229" s="246">
        <v>0</v>
      </c>
      <c r="G229" s="206"/>
      <c r="H229" s="214"/>
      <c r="I229" s="1">
        <f t="shared" si="5"/>
        <v>0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7420</v>
      </c>
      <c r="B230" s="213" t="s">
        <v>632</v>
      </c>
      <c r="C230" s="246">
        <v>0</v>
      </c>
      <c r="D230" s="206"/>
      <c r="E230" s="214"/>
      <c r="F230" s="246">
        <v>2325</v>
      </c>
      <c r="G230" s="206"/>
      <c r="H230" s="214"/>
      <c r="I230" s="1">
        <f t="shared" si="5"/>
        <v>-2325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7430</v>
      </c>
      <c r="B231" s="213" t="s">
        <v>633</v>
      </c>
      <c r="C231" s="246">
        <v>0</v>
      </c>
      <c r="D231" s="206"/>
      <c r="E231" s="214"/>
      <c r="F231" s="246">
        <v>0</v>
      </c>
      <c r="G231" s="206"/>
      <c r="H231" s="214"/>
      <c r="I231" s="1">
        <f t="shared" si="5"/>
        <v>0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7500</v>
      </c>
      <c r="B232" s="213" t="s">
        <v>634</v>
      </c>
      <c r="C232" s="246">
        <v>86072</v>
      </c>
      <c r="D232" s="206"/>
      <c r="E232" s="214"/>
      <c r="F232" s="246">
        <v>73215</v>
      </c>
      <c r="G232" s="206"/>
      <c r="H232" s="214"/>
      <c r="I232" s="1">
        <f t="shared" si="5"/>
        <v>12857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7510</v>
      </c>
      <c r="B233" s="213" t="s">
        <v>333</v>
      </c>
      <c r="C233" s="246">
        <v>0</v>
      </c>
      <c r="D233" s="206"/>
      <c r="E233" s="214"/>
      <c r="F233" s="246">
        <v>66500</v>
      </c>
      <c r="G233" s="206"/>
      <c r="H233" s="214"/>
      <c r="I233" s="1">
        <f t="shared" si="5"/>
        <v>-66500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12">
        <v>7700</v>
      </c>
      <c r="B234" s="213" t="s">
        <v>635</v>
      </c>
      <c r="C234" s="246">
        <v>50865.23</v>
      </c>
      <c r="D234" s="206"/>
      <c r="E234" s="214"/>
      <c r="F234" s="246">
        <v>53501.87</v>
      </c>
      <c r="G234" s="206"/>
      <c r="H234" s="214"/>
      <c r="I234" s="1">
        <f t="shared" si="5"/>
        <v>-2636.6399999999994</v>
      </c>
      <c r="J234" s="1">
        <f t="shared" si="5"/>
        <v>0</v>
      </c>
      <c r="K234" s="1">
        <f t="shared" si="5"/>
        <v>0</v>
      </c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>
        <v>7720</v>
      </c>
      <c r="B235" s="213" t="s">
        <v>335</v>
      </c>
      <c r="C235" s="246">
        <v>0</v>
      </c>
      <c r="D235" s="206"/>
      <c r="E235" s="214"/>
      <c r="F235" s="246">
        <v>0</v>
      </c>
      <c r="G235" s="206"/>
      <c r="H235" s="214"/>
      <c r="I235" s="1">
        <f t="shared" si="5"/>
        <v>0</v>
      </c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7740</v>
      </c>
      <c r="B236" s="213" t="s">
        <v>636</v>
      </c>
      <c r="C236" s="246">
        <v>1.82</v>
      </c>
      <c r="D236" s="206"/>
      <c r="E236" s="214"/>
      <c r="F236" s="246">
        <v>-0.88</v>
      </c>
      <c r="G236" s="206"/>
      <c r="H236" s="214"/>
      <c r="I236" s="1">
        <f t="shared" si="5"/>
        <v>2.7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4.4">
      <c r="A237" s="215">
        <v>7750</v>
      </c>
      <c r="B237" s="216" t="s">
        <v>780</v>
      </c>
      <c r="C237" s="246">
        <v>0</v>
      </c>
      <c r="D237" s="206"/>
      <c r="E237" s="214"/>
      <c r="F237" s="246">
        <v>0</v>
      </c>
      <c r="G237" s="206"/>
      <c r="H237" s="214"/>
      <c r="I237" s="1">
        <f t="shared" si="5"/>
        <v>0</v>
      </c>
      <c r="J237" s="1">
        <f t="shared" si="5"/>
        <v>0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>
      <c r="A238" s="212">
        <v>7770</v>
      </c>
      <c r="B238" s="213" t="s">
        <v>637</v>
      </c>
      <c r="C238" s="246">
        <v>15456.47</v>
      </c>
      <c r="D238" s="206"/>
      <c r="E238" s="214"/>
      <c r="F238" s="246">
        <v>23405.53</v>
      </c>
      <c r="G238" s="206"/>
      <c r="H238" s="214"/>
      <c r="I238" s="1">
        <f t="shared" si="5"/>
        <v>-7949.0599999999995</v>
      </c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>
      <c r="A239" s="212">
        <v>7790</v>
      </c>
      <c r="B239" s="213" t="s">
        <v>638</v>
      </c>
      <c r="C239" s="246">
        <v>6830.41</v>
      </c>
      <c r="D239" s="206"/>
      <c r="E239" s="214"/>
      <c r="F239" s="246">
        <v>3389.2</v>
      </c>
      <c r="G239" s="206"/>
      <c r="H239" s="214"/>
      <c r="I239" s="1">
        <f t="shared" si="5"/>
        <v>3441.21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>
      <c r="A240" s="212">
        <v>7791</v>
      </c>
      <c r="B240" s="213" t="s">
        <v>839</v>
      </c>
      <c r="C240" s="246">
        <v>4573.3900000000003</v>
      </c>
      <c r="D240" s="206"/>
      <c r="E240" s="214"/>
      <c r="F240" s="246">
        <v>0</v>
      </c>
      <c r="G240" s="206"/>
      <c r="H240" s="214"/>
      <c r="I240" s="1">
        <f t="shared" si="5"/>
        <v>4573.3900000000003</v>
      </c>
      <c r="J240" s="1">
        <f t="shared" si="5"/>
        <v>0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>
      <c r="A241" s="212">
        <v>7792</v>
      </c>
      <c r="B241" s="213" t="s">
        <v>343</v>
      </c>
      <c r="C241" s="246">
        <v>0</v>
      </c>
      <c r="D241" s="206"/>
      <c r="E241" s="214"/>
      <c r="F241" s="246">
        <v>0</v>
      </c>
      <c r="G241" s="206"/>
      <c r="H241" s="214"/>
      <c r="I241" s="1">
        <f t="shared" si="5"/>
        <v>0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>
      <c r="A242" s="212">
        <v>7809</v>
      </c>
      <c r="B242" s="213" t="s">
        <v>969</v>
      </c>
      <c r="C242" s="246">
        <v>0</v>
      </c>
      <c r="D242" s="206"/>
      <c r="E242" s="214"/>
      <c r="F242" s="246">
        <v>45000</v>
      </c>
      <c r="G242" s="206"/>
      <c r="H242" s="214"/>
      <c r="I242" s="1">
        <f t="shared" si="5"/>
        <v>-45000</v>
      </c>
      <c r="J242" s="1">
        <f t="shared" si="5"/>
        <v>0</v>
      </c>
      <c r="K242" s="1">
        <f t="shared" si="5"/>
        <v>0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>
      <c r="A243" s="212">
        <v>7830</v>
      </c>
      <c r="B243" s="213" t="s">
        <v>639</v>
      </c>
      <c r="C243" s="246">
        <v>0</v>
      </c>
      <c r="D243" s="206"/>
      <c r="E243" s="214"/>
      <c r="F243" s="246">
        <v>35516.699999999997</v>
      </c>
      <c r="G243" s="206"/>
      <c r="H243" s="214"/>
      <c r="I243" s="1">
        <f t="shared" si="5"/>
        <v>-35516.699999999997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>
      <c r="A244" s="212">
        <v>7831</v>
      </c>
      <c r="B244" s="218" t="s">
        <v>713</v>
      </c>
      <c r="C244" s="246">
        <v>-27950</v>
      </c>
      <c r="D244" s="206"/>
      <c r="E244" s="214"/>
      <c r="F244" s="246">
        <v>-23995</v>
      </c>
      <c r="G244" s="206"/>
      <c r="H244" s="214"/>
      <c r="I244" s="1">
        <f t="shared" si="5"/>
        <v>-3955</v>
      </c>
      <c r="J244" s="1">
        <f t="shared" si="5"/>
        <v>0</v>
      </c>
      <c r="K244" s="1">
        <f t="shared" si="5"/>
        <v>0</v>
      </c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A245" s="223" t="s">
        <v>374</v>
      </c>
      <c r="B245" s="213" t="s">
        <v>655</v>
      </c>
      <c r="C245" s="246">
        <f>SUM(C187:C244)</f>
        <v>1485365.9200000002</v>
      </c>
      <c r="D245" s="230">
        <f>C245</f>
        <v>1485365.9200000002</v>
      </c>
      <c r="E245" s="214"/>
      <c r="F245" s="246">
        <f>SUM(F187:F244)</f>
        <v>1600768.99</v>
      </c>
      <c r="G245" s="230">
        <f>F245</f>
        <v>1600768.99</v>
      </c>
      <c r="H245" s="214"/>
      <c r="I245" s="1">
        <f t="shared" si="5"/>
        <v>-115403.06999999983</v>
      </c>
      <c r="J245" s="1">
        <f t="shared" si="5"/>
        <v>-115403.06999999983</v>
      </c>
      <c r="K245" s="1">
        <f t="shared" si="5"/>
        <v>0</v>
      </c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>
      <c r="A246" s="212"/>
      <c r="B246" s="213"/>
      <c r="C246" s="241" t="s">
        <v>374</v>
      </c>
      <c r="D246" s="206"/>
      <c r="E246" s="214"/>
      <c r="F246" s="241"/>
      <c r="G246" s="206"/>
      <c r="H246" s="214"/>
      <c r="I246" s="1"/>
      <c r="J246" s="1">
        <f t="shared" si="5"/>
        <v>0</v>
      </c>
      <c r="K246" s="1">
        <f t="shared" si="5"/>
        <v>0</v>
      </c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A247" s="212">
        <v>8050</v>
      </c>
      <c r="B247" s="213" t="s">
        <v>640</v>
      </c>
      <c r="C247" s="250">
        <v>-2792.89</v>
      </c>
      <c r="D247" s="206"/>
      <c r="E247" s="214"/>
      <c r="F247" s="250">
        <v>-5261.47</v>
      </c>
      <c r="G247" s="206"/>
      <c r="H247" s="214"/>
      <c r="I247" s="1">
        <f t="shared" si="5"/>
        <v>2468.5800000000004</v>
      </c>
      <c r="J247" s="1">
        <f t="shared" si="5"/>
        <v>0</v>
      </c>
      <c r="K247" s="1">
        <f t="shared" si="5"/>
        <v>0</v>
      </c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 ht="14.4">
      <c r="A248" s="215">
        <v>8060</v>
      </c>
      <c r="B248" s="216" t="s">
        <v>781</v>
      </c>
      <c r="C248" s="250">
        <v>-929.22</v>
      </c>
      <c r="D248" s="234">
        <f>SUM(C247:C250)</f>
        <v>-13762.11</v>
      </c>
      <c r="E248" s="214"/>
      <c r="F248" s="250">
        <v>0</v>
      </c>
      <c r="G248" s="234">
        <f>SUM(F247:F250)</f>
        <v>-14596.470000000001</v>
      </c>
      <c r="H248" s="214"/>
      <c r="I248" s="1">
        <f t="shared" si="5"/>
        <v>-929.22</v>
      </c>
      <c r="J248" s="1">
        <f t="shared" si="5"/>
        <v>834.36000000000058</v>
      </c>
      <c r="K248" s="1">
        <f t="shared" si="5"/>
        <v>0</v>
      </c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</row>
    <row r="249" spans="1:28" ht="14.4">
      <c r="A249" s="215">
        <v>8071</v>
      </c>
      <c r="B249" s="216" t="s">
        <v>389</v>
      </c>
      <c r="C249" s="250">
        <v>-10040</v>
      </c>
      <c r="D249" s="234"/>
      <c r="E249" s="214"/>
      <c r="F249" s="250">
        <v>-9335</v>
      </c>
      <c r="G249" s="234"/>
      <c r="H249" s="214"/>
      <c r="I249" s="1">
        <f t="shared" si="5"/>
        <v>-705</v>
      </c>
      <c r="J249" s="1">
        <f t="shared" si="5"/>
        <v>0</v>
      </c>
      <c r="K249" s="1">
        <f t="shared" si="5"/>
        <v>0</v>
      </c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</row>
    <row r="250" spans="1:28" ht="14.4">
      <c r="A250" s="215">
        <v>8078</v>
      </c>
      <c r="B250" s="216" t="s">
        <v>870</v>
      </c>
      <c r="C250" s="250">
        <v>0</v>
      </c>
      <c r="D250" s="234"/>
      <c r="E250" s="214"/>
      <c r="F250" s="250">
        <v>0</v>
      </c>
      <c r="G250" s="234"/>
      <c r="H250" s="214"/>
      <c r="I250" s="1">
        <f t="shared" si="5"/>
        <v>0</v>
      </c>
      <c r="J250" s="1">
        <f t="shared" si="5"/>
        <v>0</v>
      </c>
      <c r="K250" s="1">
        <f t="shared" si="5"/>
        <v>0</v>
      </c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</row>
    <row r="251" spans="1:28" ht="14.4">
      <c r="A251" s="215">
        <v>8150</v>
      </c>
      <c r="B251" s="216" t="s">
        <v>782</v>
      </c>
      <c r="C251" s="254">
        <v>0</v>
      </c>
      <c r="D251" s="206"/>
      <c r="E251" s="214"/>
      <c r="F251" s="254">
        <v>10.49</v>
      </c>
      <c r="G251" s="232"/>
      <c r="H251" s="214"/>
      <c r="I251" s="1">
        <f t="shared" si="5"/>
        <v>-10.49</v>
      </c>
      <c r="J251" s="1">
        <f t="shared" si="5"/>
        <v>0</v>
      </c>
      <c r="K251" s="1">
        <f t="shared" si="5"/>
        <v>0</v>
      </c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</row>
    <row r="252" spans="1:28" ht="14.4">
      <c r="A252" s="215">
        <v>8153</v>
      </c>
      <c r="B252" s="213" t="s">
        <v>641</v>
      </c>
      <c r="C252" s="254">
        <v>288.2</v>
      </c>
      <c r="D252" s="206"/>
      <c r="E252" s="214"/>
      <c r="F252" s="254">
        <v>953.15</v>
      </c>
      <c r="G252" s="232"/>
      <c r="H252" s="214"/>
      <c r="I252" s="1">
        <f t="shared" si="5"/>
        <v>-664.95</v>
      </c>
      <c r="J252" s="1">
        <f t="shared" si="5"/>
        <v>0</v>
      </c>
      <c r="K252" s="1">
        <f t="shared" si="5"/>
        <v>0</v>
      </c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</row>
    <row r="253" spans="1:28">
      <c r="A253" s="212">
        <v>8160</v>
      </c>
      <c r="B253" s="213" t="s">
        <v>871</v>
      </c>
      <c r="C253" s="254">
        <v>684.77</v>
      </c>
      <c r="D253" s="237">
        <f>SUM(C251:C253)</f>
        <v>972.97</v>
      </c>
      <c r="E253" s="214">
        <f>SUM(D155:D253)</f>
        <v>5196264.79</v>
      </c>
      <c r="F253" s="254">
        <v>1852.7</v>
      </c>
      <c r="G253" s="237">
        <f>SUM(F251:F253)</f>
        <v>2816.34</v>
      </c>
      <c r="H253" s="214">
        <f>SUM(G155:G253)</f>
        <v>7125891.290000001</v>
      </c>
      <c r="I253" s="1">
        <f t="shared" si="5"/>
        <v>-1167.93</v>
      </c>
      <c r="J253" s="1">
        <f t="shared" si="5"/>
        <v>-1843.3700000000001</v>
      </c>
      <c r="K253" s="1">
        <f t="shared" si="5"/>
        <v>-1929626.5000000009</v>
      </c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</row>
    <row r="254" spans="1:28" ht="13.8" thickBot="1">
      <c r="A254" s="222" t="s">
        <v>374</v>
      </c>
      <c r="B254" s="219" t="s">
        <v>642</v>
      </c>
      <c r="C254" s="255">
        <f>SUM(C246:C253)</f>
        <v>-12789.14</v>
      </c>
      <c r="D254" s="220"/>
      <c r="E254" s="221"/>
      <c r="F254" s="255">
        <f>SUM(F247:F253)</f>
        <v>-11780.130000000001</v>
      </c>
      <c r="G254" s="220"/>
      <c r="H254" s="221"/>
      <c r="I254" s="1">
        <f t="shared" si="5"/>
        <v>-1009.0099999999984</v>
      </c>
      <c r="J254" s="1">
        <f t="shared" si="5"/>
        <v>0</v>
      </c>
      <c r="K254" s="1">
        <f t="shared" si="5"/>
        <v>0</v>
      </c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</row>
    <row r="255" spans="1:28">
      <c r="C255" s="23" t="s">
        <v>374</v>
      </c>
      <c r="D255" s="23" t="s">
        <v>790</v>
      </c>
      <c r="E255" s="23"/>
      <c r="F255" s="23"/>
      <c r="G255" s="23"/>
      <c r="H255" s="23"/>
      <c r="K255" s="1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</row>
    <row r="256" spans="1:28">
      <c r="C256" s="23" t="s">
        <v>374</v>
      </c>
      <c r="D256" s="23"/>
      <c r="E256" s="23"/>
      <c r="F256" s="23"/>
      <c r="G256" s="23"/>
      <c r="H256" s="23"/>
      <c r="K256" s="1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</row>
    <row r="257" spans="3:28">
      <c r="D257" s="23"/>
      <c r="E257" s="23"/>
      <c r="F257" s="23"/>
      <c r="G257" s="23"/>
      <c r="H257" s="23"/>
      <c r="K257" s="1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</row>
    <row r="258" spans="3:28">
      <c r="D258" s="23"/>
      <c r="E258" s="23"/>
      <c r="F258" s="23"/>
      <c r="G258" s="23"/>
      <c r="H258" s="23"/>
      <c r="K258" s="1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</row>
    <row r="259" spans="3:28">
      <c r="C259" s="23" t="s">
        <v>374</v>
      </c>
      <c r="F259" s="23"/>
      <c r="G259" s="23"/>
      <c r="H259" s="23"/>
      <c r="K259" s="1"/>
    </row>
    <row r="260" spans="3:28">
      <c r="F260" s="23"/>
      <c r="G260" s="23"/>
      <c r="H260" s="23"/>
      <c r="K260" s="1"/>
    </row>
    <row r="261" spans="3:28">
      <c r="F261" s="23"/>
      <c r="G261" s="23"/>
      <c r="H261" s="23"/>
      <c r="K261" s="1"/>
    </row>
    <row r="262" spans="3:28">
      <c r="F262" s="23"/>
      <c r="G262" s="23"/>
      <c r="H262" s="23"/>
      <c r="K262" s="1"/>
    </row>
    <row r="263" spans="3:28">
      <c r="F263" s="23"/>
      <c r="G263" s="23"/>
      <c r="H263" s="23"/>
      <c r="K263" s="1"/>
    </row>
    <row r="264" spans="3:28">
      <c r="F264" s="23"/>
      <c r="G264" s="23"/>
      <c r="H264" s="23"/>
      <c r="K264" s="1"/>
    </row>
    <row r="265" spans="3:28">
      <c r="F265" s="23"/>
      <c r="G265" s="23"/>
      <c r="H265" s="23"/>
      <c r="K265" s="1"/>
    </row>
    <row r="266" spans="3:28">
      <c r="F266" s="23"/>
      <c r="G266" s="23"/>
      <c r="H266" s="23"/>
      <c r="K266" s="1"/>
    </row>
    <row r="267" spans="3:28">
      <c r="F267" s="23"/>
      <c r="G267" s="23"/>
      <c r="H267" s="23"/>
      <c r="K267" s="1"/>
    </row>
    <row r="268" spans="3:28">
      <c r="F268" s="23"/>
      <c r="G268" s="23"/>
      <c r="H268" s="23"/>
      <c r="K268" s="1"/>
    </row>
    <row r="269" spans="3:28">
      <c r="F269" s="23"/>
      <c r="G269" s="23"/>
      <c r="H269" s="23"/>
      <c r="K269" s="1"/>
    </row>
    <row r="270" spans="3:28">
      <c r="F270" s="23"/>
      <c r="G270" s="23"/>
      <c r="H270" s="23"/>
      <c r="K270" s="1"/>
    </row>
    <row r="271" spans="3:28">
      <c r="F271" s="23"/>
      <c r="G271" s="23"/>
      <c r="H271" s="23"/>
      <c r="K271" s="1"/>
    </row>
    <row r="272" spans="3:28">
      <c r="F272" s="23"/>
      <c r="G272" s="23"/>
      <c r="H272" s="23"/>
      <c r="K272" s="1"/>
    </row>
    <row r="273" spans="6:11">
      <c r="F273" s="23"/>
      <c r="G273" s="23"/>
      <c r="H273" s="23"/>
      <c r="K273" s="1"/>
    </row>
    <row r="274" spans="6:11">
      <c r="F274" s="23"/>
      <c r="G274" s="23"/>
      <c r="H274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1E7E-A37C-4475-909E-1E8CF2FF9576}">
  <dimension ref="A1:F95"/>
  <sheetViews>
    <sheetView topLeftCell="A73" workbookViewId="0">
      <selection activeCell="A94" sqref="A94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6" ht="23.4">
      <c r="A1" s="2" t="s">
        <v>937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46" t="s">
        <v>376</v>
      </c>
      <c r="C6" s="375" t="s">
        <v>377</v>
      </c>
      <c r="D6" s="375"/>
    </row>
    <row r="7" spans="1:6">
      <c r="B7" s="346"/>
      <c r="C7" s="346">
        <v>2020</v>
      </c>
      <c r="D7" s="346">
        <v>2019</v>
      </c>
    </row>
    <row r="8" spans="1:6">
      <c r="A8" s="3" t="s">
        <v>379</v>
      </c>
      <c r="B8" s="346" t="s">
        <v>374</v>
      </c>
      <c r="C8" s="141"/>
      <c r="D8" s="141"/>
    </row>
    <row r="9" spans="1:6">
      <c r="A9" t="s">
        <v>423</v>
      </c>
      <c r="B9" s="346"/>
      <c r="C9" s="170">
        <f>'Saldobalanse 2020'!D116*-1</f>
        <v>1530330</v>
      </c>
      <c r="D9" s="170">
        <f>'Saldobalanse 2020'!G116*-1</f>
        <v>975340</v>
      </c>
    </row>
    <row r="10" spans="1:6">
      <c r="A10" t="s">
        <v>424</v>
      </c>
      <c r="B10" s="346"/>
      <c r="C10" s="170">
        <f>'Saldobalanse 2020'!D129*-1</f>
        <v>1947674.41</v>
      </c>
      <c r="D10" s="170">
        <f>'Saldobalanse 2020'!G129*-1</f>
        <v>1922616.68</v>
      </c>
    </row>
    <row r="11" spans="1:6">
      <c r="A11" t="s">
        <v>425</v>
      </c>
      <c r="B11" s="346"/>
      <c r="C11" s="170">
        <f>'Saldobalanse 2020'!D122*-1</f>
        <v>58985</v>
      </c>
      <c r="D11" s="170">
        <f>'Saldobalanse 2020'!G122*-1</f>
        <v>231442</v>
      </c>
    </row>
    <row r="12" spans="1:6">
      <c r="A12" t="s">
        <v>220</v>
      </c>
      <c r="B12" s="346"/>
      <c r="C12" s="171">
        <f>'Saldobalanse 2020'!D134*-1</f>
        <v>3371690.4700000007</v>
      </c>
      <c r="D12" s="171">
        <f>'Saldobalanse 2020'!G134*-1</f>
        <v>14951810.08</v>
      </c>
    </row>
    <row r="13" spans="1:6">
      <c r="A13" s="3" t="s">
        <v>381</v>
      </c>
      <c r="B13" s="346"/>
      <c r="C13" s="172">
        <f>SUM(C9:C12)</f>
        <v>6908679.8800000008</v>
      </c>
      <c r="D13" s="172">
        <f>SUM(D9:D12)</f>
        <v>18081208.759999998</v>
      </c>
      <c r="F13" s="7"/>
    </row>
    <row r="14" spans="1:6">
      <c r="B14" s="346"/>
      <c r="C14" s="170"/>
      <c r="D14" s="170"/>
    </row>
    <row r="15" spans="1:6">
      <c r="A15" s="3" t="s">
        <v>382</v>
      </c>
      <c r="B15" s="346"/>
      <c r="C15" s="170"/>
      <c r="D15" s="170"/>
    </row>
    <row r="16" spans="1:6">
      <c r="A16" t="s">
        <v>383</v>
      </c>
      <c r="B16" s="346" t="s">
        <v>374</v>
      </c>
      <c r="C16" s="170">
        <f>'Saldobalanse 2020'!D155</f>
        <v>2544999.14</v>
      </c>
      <c r="D16" s="170">
        <f>'Saldobalanse 2020'!G155</f>
        <v>4288142.25</v>
      </c>
    </row>
    <row r="17" spans="1:5">
      <c r="A17" s="139" t="s">
        <v>247</v>
      </c>
      <c r="B17" s="140"/>
      <c r="C17" s="173">
        <f>'Saldobalanse 2020'!D186</f>
        <v>248360.77000000002</v>
      </c>
      <c r="D17" s="173">
        <f>'Saldobalanse 2020'!G186</f>
        <v>144461.82</v>
      </c>
    </row>
    <row r="18" spans="1:5">
      <c r="A18" t="s">
        <v>384</v>
      </c>
      <c r="B18" s="346" t="s">
        <v>815</v>
      </c>
      <c r="C18" s="170">
        <f>'Saldobalanse 2020'!D181</f>
        <v>930328.1</v>
      </c>
      <c r="D18" s="170">
        <f>'Saldobalanse 2020'!G181</f>
        <v>1104298.3600000001</v>
      </c>
    </row>
    <row r="19" spans="1:5">
      <c r="A19" t="s">
        <v>385</v>
      </c>
      <c r="B19" s="346"/>
      <c r="C19" s="171">
        <f>'Saldobalanse 2020'!D245</f>
        <v>1485365.9200000002</v>
      </c>
      <c r="D19" s="171">
        <f>'Saldobalanse 2020'!G245</f>
        <v>1600768.99</v>
      </c>
    </row>
    <row r="20" spans="1:5">
      <c r="A20" s="3" t="s">
        <v>386</v>
      </c>
      <c r="B20" s="346"/>
      <c r="C20" s="172">
        <f>SUM(C16:C19)</f>
        <v>5209053.9300000006</v>
      </c>
      <c r="D20" s="172">
        <f>SUM(D16:D19)</f>
        <v>7137671.4200000009</v>
      </c>
    </row>
    <row r="21" spans="1:5">
      <c r="B21" s="346"/>
      <c r="C21" s="170"/>
      <c r="D21" s="170"/>
    </row>
    <row r="22" spans="1:5">
      <c r="A22" s="3" t="s">
        <v>387</v>
      </c>
      <c r="B22" s="346"/>
      <c r="C22" s="172">
        <f>C13-C20</f>
        <v>1699625.9500000002</v>
      </c>
      <c r="D22" s="172">
        <f>D13-D20</f>
        <v>10943537.339999996</v>
      </c>
      <c r="E22" s="7"/>
    </row>
    <row r="23" spans="1:5">
      <c r="B23" s="346"/>
      <c r="C23" s="170"/>
      <c r="D23" s="170"/>
    </row>
    <row r="24" spans="1:5">
      <c r="A24" s="3" t="s">
        <v>388</v>
      </c>
      <c r="B24" s="346"/>
      <c r="C24" s="170"/>
      <c r="D24" s="170"/>
    </row>
    <row r="25" spans="1:5">
      <c r="A25" t="s">
        <v>389</v>
      </c>
      <c r="B25" s="346"/>
      <c r="C25" s="170">
        <f>'Saldobalanse 2020'!D248*-1</f>
        <v>13762.11</v>
      </c>
      <c r="D25" s="170">
        <f>'Saldobalanse 2020'!G248*-1</f>
        <v>14596.470000000001</v>
      </c>
    </row>
    <row r="26" spans="1:5">
      <c r="A26" t="s">
        <v>390</v>
      </c>
      <c r="B26" s="346"/>
      <c r="C26" s="171">
        <f>'Saldobalanse 2020'!D253</f>
        <v>972.97</v>
      </c>
      <c r="D26" s="171">
        <f>'Saldobalanse 2020'!G253</f>
        <v>2816.34</v>
      </c>
    </row>
    <row r="27" spans="1:5">
      <c r="A27" s="3" t="s">
        <v>391</v>
      </c>
      <c r="B27" s="346"/>
      <c r="C27" s="172">
        <f>C25-C26</f>
        <v>12789.140000000001</v>
      </c>
      <c r="D27" s="172">
        <f>D25-D26</f>
        <v>11780.130000000001</v>
      </c>
    </row>
    <row r="28" spans="1:5">
      <c r="A28" s="3"/>
      <c r="B28" s="346"/>
      <c r="C28" s="172"/>
      <c r="D28" s="172"/>
    </row>
    <row r="29" spans="1:5">
      <c r="A29" s="3" t="s">
        <v>392</v>
      </c>
      <c r="B29" s="346"/>
      <c r="C29" s="172">
        <f>C22+C27</f>
        <v>1712415.09</v>
      </c>
      <c r="D29" s="172">
        <f>D22+D27</f>
        <v>10955317.469999997</v>
      </c>
    </row>
    <row r="30" spans="1:5">
      <c r="B30" s="346"/>
      <c r="C30" s="170"/>
      <c r="D30" s="170"/>
    </row>
    <row r="31" spans="1:5">
      <c r="A31" s="3" t="s">
        <v>393</v>
      </c>
      <c r="B31" s="346"/>
      <c r="C31" s="170"/>
      <c r="D31" s="170"/>
    </row>
    <row r="32" spans="1:5">
      <c r="A32" t="s">
        <v>394</v>
      </c>
      <c r="B32" s="346"/>
      <c r="C32" s="171">
        <f>C29</f>
        <v>1712415.09</v>
      </c>
      <c r="D32" s="171">
        <f>D29</f>
        <v>10955317.469999997</v>
      </c>
    </row>
    <row r="33" spans="1:4">
      <c r="A33" s="3" t="s">
        <v>395</v>
      </c>
      <c r="B33" s="346"/>
      <c r="C33" s="172">
        <f>SUM(C32)</f>
        <v>1712415.09</v>
      </c>
      <c r="D33" s="172">
        <f>SUM(D32)</f>
        <v>10955317.469999997</v>
      </c>
    </row>
    <row r="34" spans="1:4">
      <c r="B34" s="346"/>
      <c r="C34" s="170" t="s">
        <v>374</v>
      </c>
      <c r="D34" s="170"/>
    </row>
    <row r="35" spans="1:4">
      <c r="B35" s="346"/>
      <c r="C35" s="170" t="s">
        <v>374</v>
      </c>
      <c r="D35" s="170"/>
    </row>
    <row r="36" spans="1:4">
      <c r="B36" s="346"/>
      <c r="C36" s="170"/>
      <c r="D36" s="170"/>
    </row>
    <row r="37" spans="1:4" ht="23.4">
      <c r="A37" s="2" t="s">
        <v>939</v>
      </c>
      <c r="B37" s="346"/>
      <c r="C37" s="141"/>
      <c r="D37" s="141"/>
    </row>
    <row r="38" spans="1:4" s="4" customFormat="1">
      <c r="B38" s="346"/>
      <c r="C38" s="174"/>
      <c r="D38" s="174"/>
    </row>
    <row r="39" spans="1:4" s="4" customFormat="1">
      <c r="B39" s="346"/>
      <c r="C39" s="376" t="s">
        <v>396</v>
      </c>
      <c r="D39" s="376"/>
    </row>
    <row r="40" spans="1:4">
      <c r="B40" s="346" t="s">
        <v>376</v>
      </c>
      <c r="C40" s="347">
        <f>C7</f>
        <v>2020</v>
      </c>
      <c r="D40" s="347">
        <f>D7</f>
        <v>2019</v>
      </c>
    </row>
    <row r="41" spans="1:4">
      <c r="A41" s="3" t="s">
        <v>397</v>
      </c>
      <c r="B41" s="346"/>
      <c r="C41" s="141"/>
      <c r="D41" s="141"/>
    </row>
    <row r="42" spans="1:4">
      <c r="A42" s="3" t="s">
        <v>398</v>
      </c>
      <c r="B42" s="346"/>
      <c r="C42" s="176"/>
      <c r="D42" s="176"/>
    </row>
    <row r="43" spans="1:4">
      <c r="A43" s="10" t="s">
        <v>399</v>
      </c>
      <c r="B43" s="346" t="s">
        <v>521</v>
      </c>
      <c r="C43" s="170">
        <f>'Saldobalanse 2020'!D6</f>
        <v>11933138.75</v>
      </c>
      <c r="D43" s="179">
        <f>'Saldobalanse 2020'!G6</f>
        <v>1287790</v>
      </c>
    </row>
    <row r="44" spans="1:4">
      <c r="A44" s="133" t="s">
        <v>523</v>
      </c>
      <c r="B44" s="346" t="s">
        <v>522</v>
      </c>
      <c r="C44" s="171">
        <f>'Saldobalanse 2020'!D14</f>
        <v>648003.78</v>
      </c>
      <c r="D44" s="171">
        <f>'Saldobalanse 2020'!G14</f>
        <v>518175.58</v>
      </c>
    </row>
    <row r="45" spans="1:4">
      <c r="A45" s="3" t="s">
        <v>400</v>
      </c>
      <c r="B45" s="346"/>
      <c r="C45" s="172">
        <f>SUM(C43:C44)</f>
        <v>12581142.529999999</v>
      </c>
      <c r="D45" s="172">
        <f>SUM(D43:D44)</f>
        <v>1805965.58</v>
      </c>
    </row>
    <row r="46" spans="1:4">
      <c r="B46" s="346"/>
      <c r="C46" s="170"/>
      <c r="D46" s="170"/>
    </row>
    <row r="47" spans="1:4">
      <c r="A47" s="3" t="s">
        <v>401</v>
      </c>
      <c r="B47" s="346"/>
      <c r="C47" s="141"/>
      <c r="D47" s="170"/>
    </row>
    <row r="48" spans="1:4">
      <c r="A48" t="s">
        <v>402</v>
      </c>
      <c r="B48" s="346" t="s">
        <v>380</v>
      </c>
      <c r="C48" s="170">
        <f>'Saldobalanse 2020'!D15</f>
        <v>130242.38</v>
      </c>
      <c r="D48" s="170">
        <f>'Saldobalanse 2020'!G15</f>
        <v>115377.5</v>
      </c>
    </row>
    <row r="49" spans="1:6">
      <c r="A49" t="s">
        <v>22</v>
      </c>
      <c r="B49" s="346" t="s">
        <v>380</v>
      </c>
      <c r="C49" s="170">
        <f>'Saldobalanse 2020'!D19</f>
        <v>56318.69</v>
      </c>
      <c r="D49" s="170">
        <f>'Saldobalanse 2020'!G19</f>
        <v>0</v>
      </c>
    </row>
    <row r="50" spans="1:6">
      <c r="A50" t="s">
        <v>403</v>
      </c>
      <c r="B50" s="346" t="s">
        <v>380</v>
      </c>
      <c r="C50" s="170">
        <f>'Saldobalanse 2020'!D26</f>
        <v>29054.15</v>
      </c>
      <c r="D50" s="170">
        <f>'Saldobalanse 2020'!G26</f>
        <v>9917054.5399999991</v>
      </c>
    </row>
    <row r="51" spans="1:6">
      <c r="A51" t="s">
        <v>404</v>
      </c>
      <c r="B51" s="346" t="s">
        <v>405</v>
      </c>
      <c r="C51" s="171">
        <f>'Saldobalanse 2020'!D42</f>
        <v>4620061.3699999992</v>
      </c>
      <c r="D51" s="171">
        <f>'Saldobalanse 2020'!G42</f>
        <v>4481912.58</v>
      </c>
    </row>
    <row r="52" spans="1:6">
      <c r="A52" s="3" t="s">
        <v>406</v>
      </c>
      <c r="B52" s="346"/>
      <c r="C52" s="172">
        <f>SUM(C48:C51)</f>
        <v>4835676.5899999989</v>
      </c>
      <c r="D52" s="172">
        <f>SUM(D48:D51)</f>
        <v>14514344.619999999</v>
      </c>
    </row>
    <row r="53" spans="1:6">
      <c r="B53" s="346"/>
      <c r="C53" s="170"/>
      <c r="D53" s="170"/>
    </row>
    <row r="54" spans="1:6">
      <c r="A54" s="3" t="s">
        <v>407</v>
      </c>
      <c r="B54" s="346"/>
      <c r="C54" s="172">
        <f>C45+C52</f>
        <v>17416819.119999997</v>
      </c>
      <c r="D54" s="172">
        <f>D45+D52</f>
        <v>16320310.199999999</v>
      </c>
    </row>
    <row r="55" spans="1:6">
      <c r="B55" s="346"/>
      <c r="C55" s="141"/>
      <c r="D55" s="170"/>
    </row>
    <row r="56" spans="1:6">
      <c r="B56" s="346"/>
      <c r="C56" s="141"/>
      <c r="D56" s="170"/>
    </row>
    <row r="57" spans="1:6" ht="21">
      <c r="A57" s="98" t="str">
        <f>A37</f>
        <v>Balanse pr 31.12.2020 for Oslostudentenes Idrettsklubb</v>
      </c>
      <c r="B57" s="346"/>
      <c r="C57" s="141"/>
      <c r="D57" s="170"/>
    </row>
    <row r="58" spans="1:6">
      <c r="B58" s="346"/>
      <c r="C58" s="141"/>
      <c r="D58" s="170"/>
    </row>
    <row r="59" spans="1:6">
      <c r="B59" s="346"/>
      <c r="C59" s="377" t="s">
        <v>396</v>
      </c>
      <c r="D59" s="377"/>
    </row>
    <row r="60" spans="1:6">
      <c r="B60" s="346" t="s">
        <v>376</v>
      </c>
      <c r="C60" s="348">
        <f>C40</f>
        <v>2020</v>
      </c>
      <c r="D60" s="351">
        <f>D40</f>
        <v>2019</v>
      </c>
    </row>
    <row r="61" spans="1:6">
      <c r="A61" s="3" t="s">
        <v>408</v>
      </c>
      <c r="B61" s="346"/>
      <c r="C61" s="141"/>
      <c r="D61" s="170"/>
    </row>
    <row r="62" spans="1:6">
      <c r="A62" s="16" t="s">
        <v>431</v>
      </c>
      <c r="B62" s="346" t="s">
        <v>409</v>
      </c>
      <c r="C62" s="170">
        <f>'Saldobalanse 2020'!D83</f>
        <v>-637309.85000000009</v>
      </c>
      <c r="D62" s="170">
        <f>'Saldobalanse 2020'!G83</f>
        <v>-637309.85000000009</v>
      </c>
    </row>
    <row r="63" spans="1:6">
      <c r="A63" s="16" t="s">
        <v>432</v>
      </c>
      <c r="B63" s="346"/>
      <c r="C63" s="171">
        <f>'Saldobalanse 2020'!D93</f>
        <v>-15218970.729999997</v>
      </c>
      <c r="D63" s="171">
        <f>'Saldobalanse 2020'!G93</f>
        <v>-13506555.439999998</v>
      </c>
    </row>
    <row r="64" spans="1:6">
      <c r="A64" s="3" t="s">
        <v>410</v>
      </c>
      <c r="B64" s="346"/>
      <c r="C64" s="172">
        <f>SUM(C62:C63)</f>
        <v>-15856280.579999996</v>
      </c>
      <c r="D64" s="172">
        <f>SUM(D62:D63)</f>
        <v>-14143865.289999997</v>
      </c>
      <c r="F64" s="7"/>
    </row>
    <row r="65" spans="1:6">
      <c r="B65" s="346"/>
      <c r="C65" s="141"/>
      <c r="D65" s="170"/>
    </row>
    <row r="66" spans="1:6">
      <c r="A66" s="3" t="s">
        <v>411</v>
      </c>
      <c r="B66" s="346"/>
      <c r="C66" s="141"/>
      <c r="D66" s="170"/>
    </row>
    <row r="67" spans="1:6">
      <c r="A67" s="16" t="s">
        <v>433</v>
      </c>
      <c r="B67" s="346" t="s">
        <v>521</v>
      </c>
      <c r="C67" s="170">
        <f>'Saldobalanse 2020'!D100</f>
        <v>-20000</v>
      </c>
      <c r="D67" s="170">
        <f>'Saldobalanse 2020'!G100</f>
        <v>-20000</v>
      </c>
    </row>
    <row r="68" spans="1:6">
      <c r="A68" t="s">
        <v>413</v>
      </c>
      <c r="B68" s="346" t="s">
        <v>521</v>
      </c>
      <c r="C68" s="171">
        <f>'Saldobalanse 2020'!D96</f>
        <v>-1312790</v>
      </c>
      <c r="D68" s="171">
        <f>'Saldobalanse 2020'!G96</f>
        <v>-1312790</v>
      </c>
    </row>
    <row r="69" spans="1:6">
      <c r="A69" s="3" t="s">
        <v>415</v>
      </c>
      <c r="B69" s="346"/>
      <c r="C69" s="172">
        <f>SUM(C67:C68)</f>
        <v>-1332790</v>
      </c>
      <c r="D69" s="172">
        <f>SUM(D67:D68)</f>
        <v>-1332790</v>
      </c>
    </row>
    <row r="70" spans="1:6">
      <c r="B70" s="346"/>
      <c r="C70" s="141"/>
      <c r="D70" s="170"/>
    </row>
    <row r="71" spans="1:6">
      <c r="A71" s="3" t="s">
        <v>416</v>
      </c>
      <c r="B71" s="346"/>
      <c r="C71" s="141"/>
      <c r="D71" s="170"/>
    </row>
    <row r="72" spans="1:6">
      <c r="A72" t="s">
        <v>144</v>
      </c>
      <c r="B72" s="346"/>
      <c r="C72" s="170">
        <f>'Saldobalanse 2020'!D97</f>
        <v>-139500.44</v>
      </c>
      <c r="D72" s="170">
        <f>'Saldobalanse 2020'!G97</f>
        <v>-760065.71</v>
      </c>
    </row>
    <row r="73" spans="1:6">
      <c r="A73" t="s">
        <v>417</v>
      </c>
      <c r="B73" s="346" t="s">
        <v>405</v>
      </c>
      <c r="C73" s="170">
        <f>'Saldobalanse 2020'!D102</f>
        <v>-34374.75</v>
      </c>
      <c r="D73" s="170">
        <f>'Saldobalanse 2020'!G102</f>
        <v>-30403.88</v>
      </c>
    </row>
    <row r="74" spans="1:6">
      <c r="A74" t="s">
        <v>146</v>
      </c>
      <c r="B74" s="346" t="s">
        <v>374</v>
      </c>
      <c r="C74" s="171">
        <f>'Saldobalanse 2020'!D108</f>
        <v>-53873.35</v>
      </c>
      <c r="D74" s="171">
        <f>'Saldobalanse 2020'!G108</f>
        <v>-53185.119999999995</v>
      </c>
    </row>
    <row r="75" spans="1:6">
      <c r="A75" s="3" t="s">
        <v>418</v>
      </c>
      <c r="B75" s="346"/>
      <c r="C75" s="172">
        <f>SUM(C72:C74)</f>
        <v>-227748.54</v>
      </c>
      <c r="D75" s="172">
        <f>SUM(D72:D74)</f>
        <v>-843654.71</v>
      </c>
    </row>
    <row r="76" spans="1:6">
      <c r="B76" s="346"/>
      <c r="C76" s="141"/>
      <c r="D76" s="170"/>
    </row>
    <row r="77" spans="1:6">
      <c r="A77" s="3" t="s">
        <v>419</v>
      </c>
      <c r="B77" s="346"/>
      <c r="C77" s="172">
        <f>C64+C69+C75</f>
        <v>-17416819.119999997</v>
      </c>
      <c r="D77" s="172">
        <f>D64+D69+D75</f>
        <v>-16320309.999999996</v>
      </c>
      <c r="E77" s="7"/>
      <c r="F77" s="7"/>
    </row>
    <row r="78" spans="1:6">
      <c r="C78" s="170"/>
      <c r="D78" s="170"/>
    </row>
    <row r="79" spans="1:6">
      <c r="B79" s="3" t="s">
        <v>940</v>
      </c>
    </row>
    <row r="81" spans="1:4" ht="13.2">
      <c r="A81" s="95" t="s">
        <v>536</v>
      </c>
      <c r="B81" s="96" t="s">
        <v>420</v>
      </c>
      <c r="D81" s="96" t="s">
        <v>420</v>
      </c>
    </row>
    <row r="82" spans="1:4" ht="13.2">
      <c r="A82" s="95"/>
      <c r="B82" s="96"/>
      <c r="D82" s="96"/>
    </row>
    <row r="83" spans="1:4" ht="13.2">
      <c r="A83" s="95" t="s">
        <v>420</v>
      </c>
      <c r="B83" s="96" t="s">
        <v>420</v>
      </c>
      <c r="D83" s="96" t="s">
        <v>420</v>
      </c>
    </row>
    <row r="84" spans="1:4" ht="13.2">
      <c r="A84" s="11"/>
      <c r="B84" s="11"/>
      <c r="C84" s="16" t="s">
        <v>374</v>
      </c>
      <c r="D84" s="11"/>
    </row>
    <row r="85" spans="1:4" ht="13.2">
      <c r="A85" s="11" t="s">
        <v>420</v>
      </c>
      <c r="B85" s="97" t="s">
        <v>420</v>
      </c>
      <c r="D85" s="97" t="s">
        <v>420</v>
      </c>
    </row>
    <row r="86" spans="1:4" ht="13.2">
      <c r="A86" s="11"/>
      <c r="B86" s="12"/>
      <c r="C86" s="11"/>
      <c r="D86" s="11"/>
    </row>
    <row r="87" spans="1:4" ht="13.2">
      <c r="A87" s="11" t="s">
        <v>420</v>
      </c>
      <c r="B87" s="13" t="s">
        <v>420</v>
      </c>
      <c r="C87" s="11"/>
      <c r="D87" s="97" t="s">
        <v>420</v>
      </c>
    </row>
    <row r="88" spans="1:4" ht="13.2">
      <c r="A88" s="11"/>
      <c r="B88" s="12"/>
      <c r="C88" s="11"/>
    </row>
    <row r="89" spans="1:4" ht="13.2">
      <c r="A89" s="11"/>
      <c r="B89" s="12"/>
      <c r="C89" s="11"/>
    </row>
    <row r="90" spans="1:4" ht="13.2">
      <c r="A90" s="11"/>
      <c r="B90" s="12"/>
      <c r="C90" s="11"/>
      <c r="D90" s="11"/>
    </row>
    <row r="91" spans="1:4" ht="13.2">
      <c r="A91" s="11"/>
      <c r="B91" s="12"/>
      <c r="C91" s="284"/>
      <c r="D91" s="11"/>
    </row>
    <row r="92" spans="1:4" ht="13.2">
      <c r="A92" s="11"/>
      <c r="B92" s="12"/>
      <c r="C92" s="284"/>
      <c r="D92" s="284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4488-7BC7-45E5-BCF4-BE0AB0A1607A}">
  <sheetPr>
    <pageSetUpPr fitToPage="1"/>
  </sheetPr>
  <dimension ref="A1:R230"/>
  <sheetViews>
    <sheetView topLeftCell="A175" workbookViewId="0">
      <selection activeCell="F166" sqref="F166:F215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78" customWidth="1"/>
    <col min="4" max="4" width="15.88671875" style="78" customWidth="1"/>
    <col min="5" max="5" width="15.109375" style="78" customWidth="1"/>
    <col min="6" max="6" width="13.5546875" style="78" bestFit="1" customWidth="1"/>
    <col min="7" max="7" width="15" style="51" bestFit="1" customWidth="1"/>
    <col min="8" max="8" width="11.6640625" style="51" bestFit="1" customWidth="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294"/>
      <c r="I1" s="51"/>
    </row>
    <row r="2" spans="1:9" ht="15.6">
      <c r="A2" s="49" t="s">
        <v>941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>
      <c r="A33" s="157"/>
      <c r="B33" s="312"/>
      <c r="C33" s="156"/>
      <c r="D33" s="156"/>
      <c r="E33" s="162"/>
      <c r="F33" s="156"/>
      <c r="G33" s="65"/>
      <c r="I33" s="51"/>
    </row>
    <row r="34" spans="1:11" ht="14.4">
      <c r="A34" s="157"/>
      <c r="B34" s="313" t="s">
        <v>461</v>
      </c>
      <c r="C34" s="315" t="s">
        <v>942</v>
      </c>
      <c r="D34" s="315" t="s">
        <v>906</v>
      </c>
      <c r="E34" s="156"/>
      <c r="F34" s="156"/>
      <c r="G34" s="65"/>
      <c r="I34" s="51"/>
    </row>
    <row r="35" spans="1:11" ht="14.4">
      <c r="A35" s="157"/>
      <c r="B35" s="64" t="s">
        <v>463</v>
      </c>
      <c r="C35" s="316">
        <f>'Saldobalanse 2020'!C157+'Saldobalanse 2020'!C158+'Saldobalanse 2020'!C159+'Saldobalanse 2020'!C160+'Saldobalanse 2020'!C161+'Saldobalanse 2020'!C162+'Saldobalanse 2020'!C163+'Saldobalanse 2020'!C164+'Saldobalanse 2020'!C165+'Saldobalanse 2020'!C166+'Saldobalanse 2020'!C167+'Saldobalanse 2020'!C168+'Saldobalanse 2020'!C169+'Saldobalanse 2020'!C170</f>
        <v>812917.91</v>
      </c>
      <c r="D35" s="317">
        <f>'Saldobalanse 2020'!F157+'Saldobalanse 2020'!F158+'Saldobalanse 2020'!F159+'Saldobalanse 2020'!F160+'Saldobalanse 2020'!F161+'Saldobalanse 2020'!F162+'Saldobalanse 2020'!F163+'Saldobalanse 2020'!F164+'Saldobalanse 2020'!F165+'Saldobalanse 2020'!F166+'Saldobalanse 2020'!F167+'Saldobalanse 2020'!F168+'Saldobalanse 2020'!F169+'Saldobalanse 2020'!F170</f>
        <v>952781.53</v>
      </c>
      <c r="E35" s="156"/>
      <c r="F35" s="156"/>
      <c r="G35" s="345"/>
      <c r="I35" s="51"/>
    </row>
    <row r="36" spans="1:11">
      <c r="A36" s="157"/>
      <c r="B36" s="64" t="s">
        <v>232</v>
      </c>
      <c r="C36" s="317">
        <f>'Saldobalanse 2020'!C171+'Saldobalanse 2020'!C172</f>
        <v>105840.65</v>
      </c>
      <c r="D36" s="317">
        <f>'Saldobalanse 2020'!F171+'Saldobalanse 2020'!F172</f>
        <v>131753.16</v>
      </c>
      <c r="E36" s="156"/>
      <c r="F36" s="156"/>
      <c r="G36" s="65"/>
      <c r="I36" s="51"/>
    </row>
    <row r="37" spans="1:11">
      <c r="A37" s="157"/>
      <c r="B37" s="64" t="s">
        <v>464</v>
      </c>
      <c r="C37" s="317">
        <f>'Saldobalanse 2020'!C179</f>
        <v>6148.34</v>
      </c>
      <c r="D37" s="317">
        <f>'Saldobalanse 2020'!F179</f>
        <v>6895.29</v>
      </c>
      <c r="E37" s="156"/>
      <c r="F37" s="156"/>
      <c r="G37" s="65"/>
      <c r="I37" s="51"/>
    </row>
    <row r="38" spans="1:11">
      <c r="A38" s="157"/>
      <c r="B38" s="64" t="s">
        <v>465</v>
      </c>
      <c r="C38" s="318">
        <f>'Saldobalanse 2020'!C173+'Saldobalanse 2020'!C174+'Saldobalanse 2020'!C175+'Saldobalanse 2020'!C176+'Saldobalanse 2020'!C178+'Saldobalanse 2020'!C180+'Saldobalanse 2020'!C177</f>
        <v>5421.2</v>
      </c>
      <c r="D38" s="318">
        <f>'Saldobalanse 2020'!F173+'Saldobalanse 2020'!F174+'Saldobalanse 2020'!F175+'Saldobalanse 2020'!F176+'Saldobalanse 2020'!F178+'Saldobalanse 2020'!F180</f>
        <v>12868.38</v>
      </c>
      <c r="E38" s="156"/>
      <c r="F38" s="156"/>
      <c r="G38" s="65"/>
      <c r="I38" s="51"/>
    </row>
    <row r="39" spans="1:11">
      <c r="A39" s="157"/>
      <c r="B39" s="64" t="s">
        <v>466</v>
      </c>
      <c r="C39" s="317">
        <f>SUM(C35:C38)</f>
        <v>930328.1</v>
      </c>
      <c r="D39" s="317">
        <f>SUM(D35:D38)</f>
        <v>1104298.3599999999</v>
      </c>
      <c r="E39" s="156"/>
      <c r="F39" s="156"/>
      <c r="G39" s="65"/>
      <c r="H39" s="147"/>
      <c r="I39" s="147"/>
      <c r="J39" s="147"/>
      <c r="K39" s="147"/>
    </row>
    <row r="40" spans="1:11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>
      <c r="A41" s="157"/>
      <c r="B41" s="138" t="s">
        <v>943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944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945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946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 s="355" customFormat="1">
      <c r="A45" s="352"/>
      <c r="B45" s="353" t="s">
        <v>911</v>
      </c>
      <c r="C45" s="354"/>
      <c r="D45" s="354"/>
      <c r="E45" s="354"/>
      <c r="F45" s="354"/>
      <c r="G45" s="352"/>
      <c r="I45" s="356"/>
      <c r="J45" s="357"/>
      <c r="K45" s="35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>
      <c r="A52" s="157"/>
      <c r="B52" s="312"/>
      <c r="C52" s="297"/>
      <c r="D52" s="297"/>
      <c r="E52" s="297"/>
      <c r="F52" s="162"/>
      <c r="G52" s="72"/>
      <c r="I52" s="51"/>
    </row>
    <row r="53" spans="1:10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947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 s="65" customFormat="1">
      <c r="A66" s="72"/>
      <c r="B66" s="138" t="s">
        <v>966</v>
      </c>
      <c r="C66" s="298"/>
      <c r="D66" s="358">
        <v>1729999</v>
      </c>
      <c r="E66" s="162"/>
      <c r="F66" s="162"/>
      <c r="G66" s="72"/>
      <c r="J66" s="146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947</v>
      </c>
      <c r="C69" s="162"/>
      <c r="D69" s="298">
        <v>10645348.75</v>
      </c>
      <c r="E69" s="156"/>
      <c r="F69" s="162"/>
      <c r="G69" s="72"/>
      <c r="I69" s="51"/>
    </row>
    <row r="70" spans="1:10">
      <c r="A70" s="72"/>
      <c r="B70" s="138" t="s">
        <v>962</v>
      </c>
      <c r="C70" s="162"/>
      <c r="D70" s="162"/>
      <c r="E70" s="298"/>
      <c r="F70" s="162"/>
      <c r="G70" s="72"/>
      <c r="I70" s="51"/>
    </row>
    <row r="71" spans="1:10">
      <c r="A71" s="72"/>
      <c r="B71" s="138" t="s">
        <v>963</v>
      </c>
      <c r="C71" s="162"/>
      <c r="D71" s="162"/>
      <c r="E71" s="298"/>
      <c r="F71" s="162"/>
      <c r="G71" s="72"/>
      <c r="I71" s="51"/>
    </row>
    <row r="72" spans="1:10">
      <c r="A72" s="72"/>
      <c r="B72" s="64" t="s">
        <v>540</v>
      </c>
      <c r="C72" s="298"/>
      <c r="D72" s="162"/>
      <c r="E72" s="162"/>
      <c r="F72" s="162"/>
      <c r="G72" s="72"/>
      <c r="I72" s="51"/>
    </row>
    <row r="73" spans="1:10" s="65" customFormat="1">
      <c r="A73" s="72"/>
      <c r="B73" s="138" t="s">
        <v>965</v>
      </c>
      <c r="C73" s="298"/>
      <c r="D73" s="162"/>
      <c r="E73" s="162"/>
      <c r="F73" s="162"/>
      <c r="G73" s="72"/>
    </row>
    <row r="74" spans="1:10">
      <c r="A74" s="72"/>
      <c r="B74" s="64"/>
      <c r="C74" s="298"/>
      <c r="D74" s="162"/>
      <c r="E74" s="162"/>
      <c r="F74" s="162"/>
      <c r="G74" s="72"/>
      <c r="I74" s="51"/>
    </row>
    <row r="75" spans="1:10" hidden="1">
      <c r="A75" s="72"/>
      <c r="B75" s="313" t="s">
        <v>513</v>
      </c>
      <c r="C75" s="298"/>
      <c r="D75" s="162"/>
      <c r="E75" s="162"/>
      <c r="F75" s="162"/>
      <c r="G75" s="72"/>
      <c r="I75" s="51"/>
    </row>
    <row r="76" spans="1:10" hidden="1">
      <c r="A76" s="72"/>
      <c r="B76" s="64" t="s">
        <v>514</v>
      </c>
      <c r="C76" s="162"/>
      <c r="D76" s="298">
        <v>132876</v>
      </c>
      <c r="E76" s="156"/>
      <c r="F76" s="162"/>
      <c r="G76" s="72"/>
      <c r="I76" s="51"/>
    </row>
    <row r="77" spans="1:10" hidden="1">
      <c r="A77" s="72"/>
      <c r="B77" s="64" t="s">
        <v>472</v>
      </c>
      <c r="C77" s="162"/>
      <c r="D77" s="301">
        <v>-132876</v>
      </c>
      <c r="E77" s="156"/>
      <c r="F77" s="162"/>
      <c r="G77" s="72"/>
      <c r="I77" s="51"/>
    </row>
    <row r="78" spans="1:10" hidden="1">
      <c r="A78" s="72"/>
      <c r="B78" s="64" t="s">
        <v>505</v>
      </c>
      <c r="C78" s="162"/>
      <c r="D78" s="302">
        <v>0</v>
      </c>
      <c r="E78" s="156"/>
      <c r="F78" s="162"/>
      <c r="G78" s="72"/>
      <c r="I78" s="51" t="s">
        <v>374</v>
      </c>
    </row>
    <row r="79" spans="1:10" hidden="1">
      <c r="A79" s="72"/>
      <c r="B79" s="138" t="s">
        <v>947</v>
      </c>
      <c r="C79" s="162"/>
      <c r="D79" s="298">
        <f>SUM(D76:D78)</f>
        <v>0</v>
      </c>
      <c r="E79" s="156"/>
      <c r="F79" s="162"/>
      <c r="G79" s="72"/>
      <c r="I79" s="51"/>
    </row>
    <row r="80" spans="1:10" hidden="1">
      <c r="A80" s="72"/>
      <c r="B80" s="72" t="s">
        <v>515</v>
      </c>
      <c r="C80" s="298"/>
      <c r="D80" s="162"/>
      <c r="E80" s="156"/>
      <c r="F80" s="162"/>
      <c r="G80" s="72"/>
      <c r="I80" s="51"/>
    </row>
    <row r="81" spans="1:9" hidden="1">
      <c r="A81" s="72"/>
      <c r="B81" s="72"/>
      <c r="C81" s="298"/>
      <c r="D81" s="162"/>
      <c r="E81" s="156"/>
      <c r="F81" s="162"/>
      <c r="G81" s="72"/>
      <c r="I81" s="51"/>
    </row>
    <row r="82" spans="1:9">
      <c r="A82" s="72"/>
      <c r="B82" s="72"/>
      <c r="C82" s="298"/>
      <c r="D82" s="162"/>
      <c r="E82" s="156"/>
      <c r="F82" s="162"/>
      <c r="G82" s="72"/>
      <c r="I82" s="51"/>
    </row>
    <row r="83" spans="1:9">
      <c r="A83" s="163" t="s">
        <v>474</v>
      </c>
      <c r="B83" s="163" t="s">
        <v>523</v>
      </c>
      <c r="C83" s="298"/>
      <c r="D83" s="162"/>
      <c r="E83" s="156"/>
      <c r="F83" s="162"/>
      <c r="G83" s="72"/>
      <c r="I83" s="51"/>
    </row>
    <row r="84" spans="1:9">
      <c r="A84" s="72"/>
      <c r="B84" s="64"/>
      <c r="C84" s="298"/>
      <c r="D84" s="162"/>
      <c r="E84" s="156"/>
      <c r="F84" s="162"/>
      <c r="G84" s="72"/>
      <c r="I84" s="51"/>
    </row>
    <row r="85" spans="1:9">
      <c r="A85" s="72"/>
      <c r="B85" s="312" t="s">
        <v>913</v>
      </c>
      <c r="C85" s="298"/>
      <c r="D85" s="162"/>
      <c r="E85" s="156"/>
      <c r="F85" s="162"/>
      <c r="G85" s="72"/>
      <c r="I85" s="51"/>
    </row>
    <row r="86" spans="1:9">
      <c r="A86" s="72"/>
      <c r="B86" s="138" t="s">
        <v>914</v>
      </c>
      <c r="C86" s="298"/>
      <c r="D86" s="162">
        <v>328125.40999999997</v>
      </c>
      <c r="E86" s="156"/>
      <c r="F86" s="162"/>
      <c r="G86" s="72"/>
      <c r="I86" s="51"/>
    </row>
    <row r="87" spans="1:9">
      <c r="A87" s="72"/>
      <c r="B87" s="138" t="s">
        <v>472</v>
      </c>
      <c r="C87" s="298"/>
      <c r="D87" s="162">
        <v>-43750.48</v>
      </c>
      <c r="E87" s="156"/>
      <c r="F87" s="162"/>
      <c r="G87" s="72"/>
      <c r="I87" s="51"/>
    </row>
    <row r="88" spans="1:9">
      <c r="A88" s="72"/>
      <c r="B88" s="64" t="s">
        <v>505</v>
      </c>
      <c r="C88" s="298"/>
      <c r="D88" s="321">
        <v>-65625.08</v>
      </c>
      <c r="E88" s="156"/>
      <c r="F88" s="162"/>
      <c r="G88" s="72"/>
      <c r="I88" s="51"/>
    </row>
    <row r="89" spans="1:9">
      <c r="A89" s="72"/>
      <c r="B89" s="138" t="s">
        <v>947</v>
      </c>
      <c r="C89" s="298"/>
      <c r="D89" s="162">
        <f>SUM(D86:D88)</f>
        <v>218749.84999999998</v>
      </c>
      <c r="E89" s="156"/>
      <c r="F89" s="162"/>
      <c r="G89" s="72"/>
      <c r="I89" s="51"/>
    </row>
    <row r="90" spans="1:9">
      <c r="A90" s="72"/>
      <c r="B90" s="138" t="s">
        <v>515</v>
      </c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>
      <c r="A92" s="72"/>
      <c r="B92" s="312" t="s">
        <v>948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949</v>
      </c>
      <c r="C93" s="298"/>
      <c r="D93" s="162">
        <f>49497.1+21199+257900+31821</f>
        <v>360417.1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v>0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f>-4239.8-51580-6364.2-9899.42</f>
        <v>-72083.42</v>
      </c>
      <c r="E95" s="156"/>
      <c r="F95" s="162"/>
      <c r="G95" s="72"/>
      <c r="I95" s="51"/>
    </row>
    <row r="96" spans="1:9">
      <c r="A96" s="72"/>
      <c r="B96" s="138" t="s">
        <v>947</v>
      </c>
      <c r="C96" s="298"/>
      <c r="D96" s="162">
        <f>SUM(D93:D95)</f>
        <v>288333.68</v>
      </c>
      <c r="E96" s="156"/>
      <c r="F96" s="162"/>
      <c r="G96" s="72"/>
      <c r="I96" s="51"/>
    </row>
    <row r="97" spans="1:9">
      <c r="A97" s="72"/>
      <c r="B97" s="138" t="s">
        <v>950</v>
      </c>
      <c r="C97" s="298"/>
      <c r="D97" s="162"/>
      <c r="E97" s="156"/>
      <c r="F97" s="162"/>
      <c r="G97" s="72"/>
      <c r="I97" s="51"/>
    </row>
    <row r="98" spans="1:9">
      <c r="A98" s="72"/>
      <c r="B98" s="64"/>
      <c r="C98" s="298"/>
      <c r="D98" s="162"/>
      <c r="E98" s="156"/>
      <c r="F98" s="162"/>
      <c r="G98" s="72"/>
      <c r="I98" s="51"/>
    </row>
    <row r="99" spans="1:9">
      <c r="A99" s="72"/>
      <c r="B99" s="312" t="s">
        <v>716</v>
      </c>
      <c r="C99" s="298"/>
      <c r="D99" s="162"/>
      <c r="E99" s="156"/>
      <c r="F99" s="162"/>
      <c r="G99" s="72"/>
      <c r="I99" s="51"/>
    </row>
    <row r="100" spans="1:9">
      <c r="A100" s="72"/>
      <c r="B100" s="138" t="s">
        <v>719</v>
      </c>
      <c r="C100" s="298"/>
      <c r="D100" s="162">
        <v>21894</v>
      </c>
      <c r="E100" s="156"/>
      <c r="F100" s="162"/>
      <c r="G100" s="72"/>
      <c r="I100" s="51"/>
    </row>
    <row r="101" spans="1:9">
      <c r="A101" s="72"/>
      <c r="B101" s="138" t="s">
        <v>801</v>
      </c>
      <c r="C101" s="298"/>
      <c r="D101" s="162">
        <f>-12809-5088</f>
        <v>-17897</v>
      </c>
      <c r="E101" s="156"/>
      <c r="F101" s="162"/>
      <c r="G101" s="72"/>
      <c r="I101" s="51"/>
    </row>
    <row r="102" spans="1:9">
      <c r="A102" s="72"/>
      <c r="B102" s="138" t="s">
        <v>721</v>
      </c>
      <c r="C102" s="298"/>
      <c r="D102" s="321">
        <v>-3997</v>
      </c>
      <c r="E102" s="156"/>
      <c r="F102" s="162"/>
      <c r="G102" s="72"/>
      <c r="I102" s="51"/>
    </row>
    <row r="103" spans="1:9">
      <c r="A103" s="72"/>
      <c r="B103" s="138" t="s">
        <v>947</v>
      </c>
      <c r="C103" s="298"/>
      <c r="D103" s="162">
        <f>SUM(D100:D102)</f>
        <v>0</v>
      </c>
      <c r="E103" s="156"/>
      <c r="F103" s="162"/>
      <c r="G103" s="72"/>
      <c r="I103" s="51"/>
    </row>
    <row r="104" spans="1:9">
      <c r="A104" s="72"/>
      <c r="B104" s="138" t="s">
        <v>717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>
      <c r="A106" s="72"/>
      <c r="B106" s="312" t="s">
        <v>718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720</v>
      </c>
      <c r="C107" s="298"/>
      <c r="D107" s="299">
        <v>75000</v>
      </c>
      <c r="E107" s="162"/>
      <c r="F107" s="162"/>
      <c r="G107" s="72"/>
      <c r="I107" s="51"/>
    </row>
    <row r="108" spans="1:9">
      <c r="A108" s="72"/>
      <c r="B108" s="138" t="s">
        <v>800</v>
      </c>
      <c r="C108" s="298"/>
      <c r="D108" s="299">
        <f>-47500-15000</f>
        <v>-62500</v>
      </c>
      <c r="E108" s="162"/>
      <c r="F108" s="162"/>
      <c r="G108" s="72"/>
      <c r="I108" s="51"/>
    </row>
    <row r="109" spans="1:9">
      <c r="A109" s="72"/>
      <c r="B109" s="138" t="s">
        <v>721</v>
      </c>
      <c r="C109" s="298"/>
      <c r="D109" s="300">
        <v>-12500</v>
      </c>
      <c r="E109" s="162"/>
      <c r="F109" s="162"/>
      <c r="G109" s="72"/>
      <c r="I109" s="51"/>
    </row>
    <row r="110" spans="1:9">
      <c r="A110" s="72"/>
      <c r="B110" s="138" t="str">
        <f>B103</f>
        <v>Bokført verdi 31.12.2020</v>
      </c>
      <c r="C110" s="298"/>
      <c r="D110" s="299">
        <f>SUM(D107:D109)</f>
        <v>0</v>
      </c>
      <c r="E110" s="299"/>
      <c r="F110" s="162"/>
      <c r="G110" s="72"/>
      <c r="I110" s="51"/>
    </row>
    <row r="111" spans="1:9">
      <c r="A111" s="72"/>
      <c r="B111" s="138" t="s">
        <v>722</v>
      </c>
      <c r="C111" s="298"/>
      <c r="D111" s="162"/>
      <c r="E111" s="162"/>
      <c r="F111" s="162"/>
      <c r="G111" s="72"/>
      <c r="I111" s="51"/>
    </row>
    <row r="112" spans="1:9">
      <c r="A112" s="72"/>
      <c r="B112" s="64"/>
      <c r="C112" s="298"/>
      <c r="D112" s="162"/>
      <c r="E112" s="162"/>
      <c r="F112" s="162"/>
      <c r="G112" s="72"/>
      <c r="I112" s="51"/>
    </row>
    <row r="113" spans="1:9">
      <c r="A113" s="72"/>
      <c r="B113" s="312" t="s">
        <v>723</v>
      </c>
      <c r="C113" s="298"/>
      <c r="D113" s="162"/>
      <c r="E113" s="162"/>
      <c r="F113" s="162"/>
      <c r="G113" s="72"/>
      <c r="I113" s="51"/>
    </row>
    <row r="114" spans="1:9">
      <c r="A114" s="72"/>
      <c r="B114" s="138" t="s">
        <v>802</v>
      </c>
      <c r="C114" s="298"/>
      <c r="D114" s="299">
        <v>183774.94</v>
      </c>
      <c r="E114" s="162"/>
      <c r="F114" s="162"/>
      <c r="G114" s="72"/>
      <c r="I114" s="51"/>
    </row>
    <row r="115" spans="1:9">
      <c r="A115" s="72"/>
      <c r="B115" s="138" t="s">
        <v>724</v>
      </c>
      <c r="C115" s="298"/>
      <c r="D115" s="299">
        <v>-60000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2">
        <f>-80460.94-24755</f>
        <v>-105215.94</v>
      </c>
      <c r="E116" s="162"/>
      <c r="F116" s="162"/>
      <c r="G116" s="72"/>
      <c r="I116" s="51"/>
    </row>
    <row r="117" spans="1:9">
      <c r="A117" s="72"/>
      <c r="B117" s="138" t="s">
        <v>721</v>
      </c>
      <c r="C117" s="298"/>
      <c r="D117" s="300">
        <v>-18559</v>
      </c>
      <c r="E117" s="162"/>
      <c r="F117" s="162"/>
      <c r="G117" s="72"/>
      <c r="I117" s="51"/>
    </row>
    <row r="118" spans="1:9">
      <c r="A118" s="72"/>
      <c r="B118" s="138" t="str">
        <f>B110</f>
        <v>Bokført verdi 31.12.2020</v>
      </c>
      <c r="C118" s="298"/>
      <c r="D118" s="299">
        <f>SUM(D114:D117)</f>
        <v>0</v>
      </c>
      <c r="E118" s="299"/>
      <c r="F118" s="162"/>
      <c r="G118" s="72"/>
      <c r="I118" s="51"/>
    </row>
    <row r="119" spans="1:9">
      <c r="A119" s="72"/>
      <c r="B119" s="138" t="s">
        <v>725</v>
      </c>
      <c r="C119" s="298"/>
      <c r="D119" s="162"/>
      <c r="E119" s="162"/>
      <c r="F119" s="162"/>
      <c r="G119" s="72"/>
      <c r="I119" s="51"/>
    </row>
    <row r="120" spans="1:9" ht="13.5" customHeight="1">
      <c r="A120" s="72"/>
      <c r="B120" s="138"/>
      <c r="C120" s="298"/>
      <c r="D120" s="162"/>
      <c r="E120" s="162"/>
      <c r="F120" s="162"/>
      <c r="G120" s="72"/>
      <c r="I120" s="51"/>
    </row>
    <row r="121" spans="1:9">
      <c r="A121" s="72"/>
      <c r="B121" s="312" t="s">
        <v>850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851</v>
      </c>
      <c r="C122" s="298"/>
      <c r="D122" s="162">
        <v>62110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323">
        <f>-27604-20703</f>
        <v>-48307</v>
      </c>
      <c r="E123" s="162"/>
      <c r="F123" s="162"/>
      <c r="G123" s="72"/>
      <c r="I123" s="51"/>
    </row>
    <row r="124" spans="1:9" ht="13.8" thickBot="1">
      <c r="A124" s="72"/>
      <c r="B124" s="138" t="s">
        <v>721</v>
      </c>
      <c r="C124" s="298"/>
      <c r="D124" s="324">
        <v>-13803</v>
      </c>
      <c r="E124" s="162"/>
      <c r="F124" s="162"/>
      <c r="G124" s="72"/>
      <c r="I124" s="51"/>
    </row>
    <row r="125" spans="1:9">
      <c r="A125" s="72"/>
      <c r="B125" s="138" t="str">
        <f>B118</f>
        <v>Bokført verdi 31.12.2020</v>
      </c>
      <c r="C125" s="298"/>
      <c r="D125" s="162">
        <f>SUM(D122:D124)</f>
        <v>0</v>
      </c>
      <c r="E125" s="162"/>
      <c r="F125" s="162"/>
      <c r="G125" s="72"/>
      <c r="I125" s="51"/>
    </row>
    <row r="126" spans="1:9">
      <c r="A126" s="72"/>
      <c r="B126" s="138" t="s">
        <v>852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>
      <c r="A128" s="72"/>
      <c r="B128" s="312" t="s">
        <v>864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881</v>
      </c>
      <c r="C129" s="298"/>
      <c r="D129" s="162">
        <v>42985.73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v>0</v>
      </c>
      <c r="E130" s="162"/>
      <c r="F130" s="162"/>
      <c r="G130" s="72"/>
      <c r="I130" s="51"/>
    </row>
    <row r="131" spans="1:9" ht="13.8" thickBot="1">
      <c r="A131" s="72"/>
      <c r="B131" s="138" t="s">
        <v>721</v>
      </c>
      <c r="C131" s="298"/>
      <c r="D131" s="324">
        <f>39270.83-42985.73</f>
        <v>-3714.9000000000015</v>
      </c>
      <c r="E131" s="162"/>
      <c r="F131" s="162"/>
      <c r="G131" s="72"/>
      <c r="I131" s="51"/>
    </row>
    <row r="132" spans="1:9">
      <c r="A132" s="72"/>
      <c r="B132" s="138" t="str">
        <f>B125</f>
        <v>Bokført verdi 31.12.2020</v>
      </c>
      <c r="C132" s="298"/>
      <c r="D132" s="162">
        <f>SUM(D129:D131)</f>
        <v>39270.83</v>
      </c>
      <c r="E132" s="162"/>
      <c r="F132" s="162"/>
      <c r="G132" s="72"/>
      <c r="I132" s="51"/>
    </row>
    <row r="133" spans="1:9">
      <c r="A133" s="72"/>
      <c r="B133" s="138" t="s">
        <v>882</v>
      </c>
      <c r="C133" s="298"/>
      <c r="D133" s="162"/>
      <c r="E133" s="162"/>
      <c r="F133" s="162"/>
      <c r="G133" s="72"/>
      <c r="I133" s="51"/>
    </row>
    <row r="134" spans="1:9">
      <c r="A134" s="72"/>
      <c r="B134" s="138"/>
      <c r="C134" s="298"/>
      <c r="D134" s="162"/>
      <c r="E134" s="162"/>
      <c r="F134" s="162"/>
      <c r="G134" s="72"/>
      <c r="I134" s="51"/>
    </row>
    <row r="135" spans="1:9">
      <c r="A135" s="72"/>
      <c r="B135" s="312" t="s">
        <v>915</v>
      </c>
      <c r="C135" s="298"/>
      <c r="D135" s="162"/>
      <c r="E135" s="162"/>
      <c r="F135" s="162"/>
      <c r="G135" s="72"/>
      <c r="I135" s="51"/>
    </row>
    <row r="136" spans="1:9">
      <c r="A136" s="72"/>
      <c r="B136" s="138" t="s">
        <v>916</v>
      </c>
      <c r="C136" s="298"/>
      <c r="D136" s="162">
        <v>177181.26</v>
      </c>
      <c r="E136" s="162"/>
      <c r="F136" s="162"/>
      <c r="G136" s="72"/>
      <c r="I136" s="51"/>
    </row>
    <row r="137" spans="1:9">
      <c r="A137" s="72"/>
      <c r="B137" s="138" t="s">
        <v>801</v>
      </c>
      <c r="C137" s="298"/>
      <c r="D137" s="162">
        <v>-26628.19</v>
      </c>
      <c r="E137" s="162"/>
      <c r="F137" s="162"/>
      <c r="G137" s="72"/>
      <c r="I137" s="51"/>
    </row>
    <row r="138" spans="1:9">
      <c r="A138" s="72"/>
      <c r="B138" s="138" t="s">
        <v>721</v>
      </c>
      <c r="C138" s="298"/>
      <c r="D138" s="321">
        <v>-35424.25</v>
      </c>
      <c r="E138" s="162"/>
      <c r="F138" s="162"/>
      <c r="G138" s="72"/>
      <c r="I138" s="51"/>
    </row>
    <row r="139" spans="1:9">
      <c r="A139" s="72"/>
      <c r="B139" s="138" t="str">
        <f>B132</f>
        <v>Bokført verdi 31.12.2020</v>
      </c>
      <c r="C139" s="298"/>
      <c r="D139" s="162">
        <f>SUM(D136:D138)</f>
        <v>115128.82</v>
      </c>
      <c r="E139" s="162"/>
      <c r="F139" s="162"/>
      <c r="G139" s="72"/>
      <c r="I139" s="51"/>
    </row>
    <row r="140" spans="1:9">
      <c r="A140" s="72"/>
      <c r="B140" s="138"/>
      <c r="C140" s="298"/>
      <c r="D140" s="162"/>
      <c r="E140" s="162"/>
      <c r="F140" s="162"/>
      <c r="G140" s="72"/>
      <c r="I140" s="51"/>
    </row>
    <row r="141" spans="1:9">
      <c r="A141" s="72"/>
      <c r="B141" s="64"/>
      <c r="C141" s="298"/>
      <c r="D141" s="162"/>
      <c r="E141" s="162"/>
      <c r="F141" s="162"/>
      <c r="G141" s="72"/>
      <c r="I141" s="51"/>
    </row>
    <row r="142" spans="1:9">
      <c r="A142" s="163" t="s">
        <v>475</v>
      </c>
      <c r="B142" s="312" t="s">
        <v>476</v>
      </c>
      <c r="C142" s="156"/>
      <c r="D142" s="156"/>
      <c r="E142" s="156"/>
      <c r="F142" s="156"/>
      <c r="G142" s="65"/>
    </row>
    <row r="143" spans="1:9">
      <c r="A143" s="72"/>
      <c r="B143" s="138" t="s">
        <v>951</v>
      </c>
      <c r="C143" s="156"/>
      <c r="D143" s="156"/>
      <c r="E143" s="156"/>
      <c r="F143" s="156"/>
      <c r="G143" s="65"/>
    </row>
    <row r="144" spans="1:9">
      <c r="A144" s="72"/>
      <c r="B144" s="138" t="s">
        <v>952</v>
      </c>
      <c r="C144" s="156"/>
      <c r="D144" s="156"/>
      <c r="E144" s="156"/>
      <c r="F144" s="156"/>
      <c r="G144" s="65"/>
    </row>
    <row r="145" spans="1:9">
      <c r="A145" s="65"/>
      <c r="B145" s="64"/>
      <c r="C145" s="156"/>
      <c r="D145" s="156"/>
      <c r="E145" s="156"/>
      <c r="F145" s="156"/>
      <c r="G145" s="65"/>
    </row>
    <row r="146" spans="1:9">
      <c r="A146" s="65"/>
      <c r="B146" s="64"/>
      <c r="C146" s="156"/>
      <c r="D146" s="156"/>
      <c r="E146" s="156"/>
      <c r="F146" s="156"/>
      <c r="G146" s="65"/>
    </row>
    <row r="147" spans="1:9">
      <c r="A147" s="336" t="s">
        <v>477</v>
      </c>
      <c r="B147" s="312" t="s">
        <v>478</v>
      </c>
      <c r="C147" s="156"/>
      <c r="D147" s="156"/>
      <c r="E147" s="156"/>
      <c r="F147" s="156"/>
      <c r="G147" s="65"/>
    </row>
    <row r="148" spans="1:9">
      <c r="A148" s="65"/>
      <c r="B148" s="72" t="s">
        <v>527</v>
      </c>
      <c r="C148" s="305" t="s">
        <v>953</v>
      </c>
      <c r="D148" s="325" t="s">
        <v>534</v>
      </c>
      <c r="E148" s="326" t="s">
        <v>954</v>
      </c>
      <c r="F148" s="162"/>
      <c r="G148" s="65"/>
      <c r="I148" s="51"/>
    </row>
    <row r="149" spans="1:9">
      <c r="A149" s="65"/>
      <c r="B149" s="72" t="s">
        <v>528</v>
      </c>
      <c r="C149" s="162">
        <v>-541013.30000000005</v>
      </c>
      <c r="D149" s="162"/>
      <c r="E149" s="298">
        <f>C149</f>
        <v>-541013.30000000005</v>
      </c>
      <c r="F149" s="162"/>
      <c r="G149" s="65"/>
      <c r="I149" s="51"/>
    </row>
    <row r="150" spans="1:9">
      <c r="A150" s="65"/>
      <c r="B150" s="327" t="s">
        <v>126</v>
      </c>
      <c r="C150" s="321">
        <v>-96296.55</v>
      </c>
      <c r="D150" s="321"/>
      <c r="E150" s="302">
        <f>C150</f>
        <v>-96296.55</v>
      </c>
      <c r="F150" s="162"/>
      <c r="G150" s="65"/>
      <c r="I150" s="51"/>
    </row>
    <row r="151" spans="1:9">
      <c r="A151" s="65"/>
      <c r="B151" s="327"/>
      <c r="C151" s="162"/>
      <c r="D151" s="162"/>
      <c r="E151" s="301"/>
      <c r="F151" s="162"/>
      <c r="G151" s="65"/>
      <c r="I151" s="51"/>
    </row>
    <row r="152" spans="1:9">
      <c r="A152" s="65"/>
      <c r="B152" s="327" t="s">
        <v>955</v>
      </c>
      <c r="C152" s="162">
        <f>SUM(C149:C151)</f>
        <v>-637309.85000000009</v>
      </c>
      <c r="D152" s="162">
        <f>SUM(D149:D151)</f>
        <v>0</v>
      </c>
      <c r="E152" s="298">
        <f>SUM(E148:E151)</f>
        <v>-637309.85000000009</v>
      </c>
      <c r="F152" s="162" t="s">
        <v>374</v>
      </c>
      <c r="G152" s="65"/>
      <c r="I152" s="51"/>
    </row>
    <row r="153" spans="1:9">
      <c r="A153" s="65"/>
      <c r="B153" s="141" t="s">
        <v>374</v>
      </c>
      <c r="C153" s="303" t="s">
        <v>374</v>
      </c>
      <c r="D153" s="156"/>
      <c r="E153" s="162"/>
      <c r="F153" s="162"/>
      <c r="G153" s="65"/>
      <c r="I153" s="51"/>
    </row>
    <row r="154" spans="1:9">
      <c r="A154" s="65"/>
      <c r="B154" s="65"/>
      <c r="C154" s="304" t="str">
        <f>C148</f>
        <v>Verdi 1.1.2020</v>
      </c>
      <c r="D154" s="304" t="s">
        <v>532</v>
      </c>
      <c r="E154" s="305" t="str">
        <f>E148</f>
        <v>Verdi pr 31.12.2020</v>
      </c>
      <c r="F154" s="162"/>
      <c r="G154" s="65"/>
      <c r="I154" s="51"/>
    </row>
    <row r="155" spans="1:9">
      <c r="A155" s="65"/>
      <c r="B155" s="327" t="s">
        <v>432</v>
      </c>
      <c r="C155" s="306">
        <f>'Årsregnskap 2020'!D63-0.2</f>
        <v>-13506555.639999997</v>
      </c>
      <c r="D155" s="306">
        <f>'Årsregnskap 2020'!C32*-1</f>
        <v>-1712415.09</v>
      </c>
      <c r="E155" s="306">
        <f>SUM(C155:D155)</f>
        <v>-15218970.729999997</v>
      </c>
      <c r="F155" s="162"/>
      <c r="G155" s="292"/>
      <c r="I155" s="51"/>
    </row>
    <row r="156" spans="1:9">
      <c r="A156" s="65"/>
      <c r="B156" s="141"/>
      <c r="C156" s="307"/>
      <c r="D156" s="307"/>
      <c r="E156" s="307"/>
      <c r="F156" s="162"/>
      <c r="G156" s="65"/>
      <c r="H156" s="65"/>
    </row>
    <row r="157" spans="1:9">
      <c r="A157" s="65"/>
      <c r="B157" s="328" t="s">
        <v>956</v>
      </c>
      <c r="C157" s="307">
        <f>C152+C155</f>
        <v>-14143865.489999996</v>
      </c>
      <c r="D157" s="307">
        <f t="shared" ref="D157" si="0">D152+D155</f>
        <v>-1712415.09</v>
      </c>
      <c r="E157" s="307">
        <f>E152+E155</f>
        <v>-15856280.579999996</v>
      </c>
      <c r="F157" s="162"/>
      <c r="G157" s="65"/>
      <c r="H157" s="65"/>
    </row>
    <row r="158" spans="1:9">
      <c r="A158" s="65"/>
      <c r="B158" s="328"/>
      <c r="C158" s="307"/>
      <c r="D158" s="307"/>
      <c r="E158" s="307"/>
      <c r="F158" s="162"/>
      <c r="G158" s="65"/>
      <c r="H158" s="65"/>
    </row>
    <row r="159" spans="1:9">
      <c r="A159" s="72"/>
      <c r="B159" s="64"/>
      <c r="C159" s="162"/>
      <c r="D159" s="162"/>
      <c r="E159" s="162"/>
      <c r="F159" s="298"/>
      <c r="G159" s="72"/>
      <c r="H159" s="57"/>
      <c r="I159" s="51"/>
    </row>
    <row r="160" spans="1:9">
      <c r="A160" s="146" t="s">
        <v>957</v>
      </c>
      <c r="B160" s="65"/>
      <c r="C160" s="156"/>
      <c r="D160" s="156"/>
      <c r="E160" s="156"/>
      <c r="F160" s="156"/>
      <c r="G160" s="65"/>
    </row>
    <row r="161" spans="1:18" s="355" customFormat="1">
      <c r="A161" s="352" t="s">
        <v>760</v>
      </c>
      <c r="B161" s="352"/>
      <c r="C161" s="354"/>
      <c r="D161" s="354"/>
      <c r="E161" s="354"/>
      <c r="F161" s="354"/>
      <c r="G161" s="352"/>
      <c r="I161" s="352"/>
    </row>
    <row r="162" spans="1:18" s="355" customFormat="1">
      <c r="A162" s="352" t="s">
        <v>761</v>
      </c>
      <c r="B162" s="352"/>
      <c r="C162" s="354"/>
      <c r="D162" s="354"/>
      <c r="E162" s="354"/>
      <c r="F162" s="354"/>
      <c r="G162" s="352"/>
      <c r="I162" s="352"/>
    </row>
    <row r="163" spans="1:18">
      <c r="A163" s="65"/>
      <c r="B163" s="65"/>
      <c r="C163" s="156"/>
      <c r="D163" s="156"/>
      <c r="E163" s="156"/>
      <c r="F163" s="156"/>
      <c r="G163" s="65"/>
    </row>
    <row r="164" spans="1:18">
      <c r="A164" s="381" t="s">
        <v>757</v>
      </c>
      <c r="B164" s="381" t="s">
        <v>1</v>
      </c>
      <c r="C164" s="379" t="s">
        <v>959</v>
      </c>
      <c r="D164" s="383" t="s">
        <v>755</v>
      </c>
      <c r="E164" s="385" t="s">
        <v>958</v>
      </c>
      <c r="F164" s="379" t="s">
        <v>960</v>
      </c>
      <c r="G164" s="65"/>
    </row>
    <row r="165" spans="1:18" ht="13.8" thickBot="1">
      <c r="A165" s="382"/>
      <c r="B165" s="382"/>
      <c r="C165" s="380"/>
      <c r="D165" s="384"/>
      <c r="E165" s="386"/>
      <c r="F165" s="380"/>
      <c r="G165" s="65"/>
    </row>
    <row r="166" spans="1:18">
      <c r="A166" s="337">
        <v>2001</v>
      </c>
      <c r="B166" s="329" t="s">
        <v>566</v>
      </c>
      <c r="C166" s="308">
        <v>-41149.94</v>
      </c>
      <c r="D166" s="308">
        <v>0</v>
      </c>
      <c r="E166" s="309">
        <v>-1489.52</v>
      </c>
      <c r="F166" s="330">
        <f>SUM(C166:E166)</f>
        <v>-42639.46</v>
      </c>
      <c r="G166" s="65"/>
      <c r="I166" s="292"/>
      <c r="J166" s="78"/>
    </row>
    <row r="167" spans="1:18">
      <c r="A167" s="338">
        <v>2002</v>
      </c>
      <c r="B167" s="268" t="s">
        <v>58</v>
      </c>
      <c r="C167" s="310">
        <v>-26873.550000000003</v>
      </c>
      <c r="D167" s="310">
        <v>0</v>
      </c>
      <c r="E167" s="311">
        <v>-30387.42</v>
      </c>
      <c r="F167" s="331">
        <f t="shared" ref="F167:F215" si="1">SUM(C167:E167)</f>
        <v>-57260.97</v>
      </c>
      <c r="G167" s="65"/>
      <c r="I167" s="292"/>
      <c r="J167" s="78"/>
    </row>
    <row r="168" spans="1:18">
      <c r="A168" s="338">
        <v>2003</v>
      </c>
      <c r="B168" s="268" t="s">
        <v>60</v>
      </c>
      <c r="C168" s="310">
        <v>-17229.84</v>
      </c>
      <c r="D168" s="310">
        <v>0</v>
      </c>
      <c r="E168" s="311">
        <v>-112812.43</v>
      </c>
      <c r="F168" s="331">
        <f t="shared" si="1"/>
        <v>-130042.26999999999</v>
      </c>
      <c r="G168" s="65"/>
      <c r="I168" s="292"/>
      <c r="J168" s="78"/>
    </row>
    <row r="169" spans="1:18">
      <c r="A169" s="338">
        <v>2004</v>
      </c>
      <c r="B169" s="268" t="s">
        <v>62</v>
      </c>
      <c r="C169" s="310">
        <v>-58070.13</v>
      </c>
      <c r="D169" s="310">
        <v>0</v>
      </c>
      <c r="E169" s="311">
        <v>950.42</v>
      </c>
      <c r="F169" s="331">
        <f t="shared" si="1"/>
        <v>-57119.71</v>
      </c>
      <c r="G169" s="65"/>
      <c r="I169" s="292"/>
      <c r="J169" s="78"/>
    </row>
    <row r="170" spans="1:18">
      <c r="A170" s="338">
        <v>2005</v>
      </c>
      <c r="B170" s="268" t="s">
        <v>64</v>
      </c>
      <c r="C170" s="310">
        <v>16810.59</v>
      </c>
      <c r="D170" s="310">
        <v>0</v>
      </c>
      <c r="E170" s="311">
        <v>-1088.1199999999999</v>
      </c>
      <c r="F170" s="331">
        <f t="shared" si="1"/>
        <v>15722.470000000001</v>
      </c>
      <c r="G170" s="65"/>
      <c r="I170" s="292"/>
      <c r="J170" s="78"/>
    </row>
    <row r="171" spans="1:18">
      <c r="A171" s="338">
        <v>2006</v>
      </c>
      <c r="B171" s="268" t="s">
        <v>66</v>
      </c>
      <c r="C171" s="310">
        <v>-83001.7</v>
      </c>
      <c r="D171" s="310">
        <v>0</v>
      </c>
      <c r="E171" s="311">
        <v>-21940.03</v>
      </c>
      <c r="F171" s="331">
        <f t="shared" si="1"/>
        <v>-104941.73</v>
      </c>
      <c r="G171" s="65"/>
      <c r="I171" s="292"/>
      <c r="J171" s="78"/>
      <c r="R171" s="65"/>
    </row>
    <row r="172" spans="1:18">
      <c r="A172" s="338">
        <v>2007</v>
      </c>
      <c r="B172" s="268" t="s">
        <v>68</v>
      </c>
      <c r="C172" s="310">
        <v>-35109.1</v>
      </c>
      <c r="D172" s="310">
        <v>0</v>
      </c>
      <c r="E172" s="311">
        <v>-8192.6</v>
      </c>
      <c r="F172" s="331">
        <f t="shared" si="1"/>
        <v>-43301.7</v>
      </c>
      <c r="G172" s="65"/>
      <c r="I172" s="292"/>
      <c r="J172" s="78"/>
    </row>
    <row r="173" spans="1:18">
      <c r="A173" s="338">
        <v>2008</v>
      </c>
      <c r="B173" s="268" t="s">
        <v>70</v>
      </c>
      <c r="C173" s="310">
        <v>19459.95</v>
      </c>
      <c r="D173" s="310">
        <v>0</v>
      </c>
      <c r="E173" s="311">
        <v>808.34</v>
      </c>
      <c r="F173" s="331">
        <f t="shared" si="1"/>
        <v>20268.29</v>
      </c>
      <c r="G173" s="65"/>
      <c r="I173" s="292"/>
      <c r="J173" s="78"/>
    </row>
    <row r="174" spans="1:18">
      <c r="A174" s="338">
        <v>2009</v>
      </c>
      <c r="B174" s="268" t="s">
        <v>567</v>
      </c>
      <c r="C174" s="310">
        <v>-180417.36</v>
      </c>
      <c r="D174" s="310">
        <v>0</v>
      </c>
      <c r="E174" s="311">
        <v>-328987.31</v>
      </c>
      <c r="F174" s="331">
        <f t="shared" si="1"/>
        <v>-509404.67</v>
      </c>
      <c r="G174" s="65"/>
      <c r="I174" s="292"/>
      <c r="J174" s="78"/>
    </row>
    <row r="175" spans="1:18">
      <c r="A175" s="338">
        <v>2010</v>
      </c>
      <c r="B175" s="268" t="s">
        <v>74</v>
      </c>
      <c r="C175" s="310">
        <v>28281.370000000003</v>
      </c>
      <c r="D175" s="310">
        <v>0</v>
      </c>
      <c r="E175" s="311">
        <v>-90301.83</v>
      </c>
      <c r="F175" s="331">
        <f t="shared" si="1"/>
        <v>-62020.46</v>
      </c>
      <c r="G175" s="65"/>
      <c r="I175" s="292"/>
      <c r="J175" s="78"/>
    </row>
    <row r="176" spans="1:18">
      <c r="A176" s="338">
        <v>2011</v>
      </c>
      <c r="B176" s="268" t="s">
        <v>76</v>
      </c>
      <c r="C176" s="310">
        <v>-1752.3799999999992</v>
      </c>
      <c r="D176" s="310">
        <v>0</v>
      </c>
      <c r="E176" s="311">
        <v>-3056.69</v>
      </c>
      <c r="F176" s="331">
        <f t="shared" si="1"/>
        <v>-4809.07</v>
      </c>
      <c r="G176" s="65"/>
      <c r="I176" s="292"/>
      <c r="J176" s="78"/>
    </row>
    <row r="177" spans="1:12">
      <c r="A177" s="338">
        <v>2012</v>
      </c>
      <c r="B177" s="268" t="s">
        <v>78</v>
      </c>
      <c r="C177" s="310">
        <v>310726.33999999997</v>
      </c>
      <c r="D177" s="310">
        <v>0</v>
      </c>
      <c r="E177" s="311">
        <v>-280843.08</v>
      </c>
      <c r="F177" s="331">
        <f t="shared" si="1"/>
        <v>29883.259999999951</v>
      </c>
      <c r="G177" s="65"/>
      <c r="I177" s="292"/>
      <c r="J177" s="78"/>
    </row>
    <row r="178" spans="1:12">
      <c r="A178" s="338">
        <v>2013</v>
      </c>
      <c r="B178" s="268" t="s">
        <v>80</v>
      </c>
      <c r="C178" s="310">
        <v>1948.6800000000003</v>
      </c>
      <c r="D178" s="310">
        <v>0</v>
      </c>
      <c r="E178" s="311">
        <v>-52264.35</v>
      </c>
      <c r="F178" s="331">
        <f t="shared" si="1"/>
        <v>-50315.67</v>
      </c>
      <c r="G178" s="65"/>
      <c r="I178" s="292"/>
      <c r="J178" s="78"/>
    </row>
    <row r="179" spans="1:12">
      <c r="A179" s="338">
        <v>2014</v>
      </c>
      <c r="B179" s="268" t="s">
        <v>82</v>
      </c>
      <c r="C179" s="310">
        <v>-31500.29</v>
      </c>
      <c r="D179" s="310">
        <v>0</v>
      </c>
      <c r="E179" s="311">
        <v>-348.44</v>
      </c>
      <c r="F179" s="331">
        <f t="shared" si="1"/>
        <v>-31848.73</v>
      </c>
      <c r="G179" s="65"/>
      <c r="I179" s="292"/>
      <c r="J179" s="78"/>
    </row>
    <row r="180" spans="1:12">
      <c r="A180" s="338">
        <v>2015</v>
      </c>
      <c r="B180" s="268" t="s">
        <v>84</v>
      </c>
      <c r="C180" s="310">
        <v>-1342.65</v>
      </c>
      <c r="D180" s="310">
        <v>0</v>
      </c>
      <c r="E180" s="311">
        <v>-4600</v>
      </c>
      <c r="F180" s="331">
        <f t="shared" si="1"/>
        <v>-5942.65</v>
      </c>
      <c r="G180" s="65"/>
      <c r="I180" s="292"/>
      <c r="J180" s="78"/>
    </row>
    <row r="181" spans="1:12">
      <c r="A181" s="338">
        <v>2016</v>
      </c>
      <c r="B181" s="268" t="s">
        <v>86</v>
      </c>
      <c r="C181" s="310">
        <v>-68381.040000000008</v>
      </c>
      <c r="D181" s="310">
        <v>0</v>
      </c>
      <c r="E181" s="311">
        <v>-13897.09</v>
      </c>
      <c r="F181" s="331">
        <f t="shared" si="1"/>
        <v>-82278.13</v>
      </c>
      <c r="G181" s="65"/>
      <c r="I181" s="292"/>
      <c r="J181" s="78"/>
    </row>
    <row r="182" spans="1:12">
      <c r="A182" s="338">
        <v>2017</v>
      </c>
      <c r="B182" s="268" t="s">
        <v>88</v>
      </c>
      <c r="C182" s="310">
        <v>-79748.329999999987</v>
      </c>
      <c r="D182" s="310">
        <v>0</v>
      </c>
      <c r="E182" s="311">
        <v>-25726.83</v>
      </c>
      <c r="F182" s="331">
        <f t="shared" si="1"/>
        <v>-105475.15999999999</v>
      </c>
      <c r="G182" s="65"/>
      <c r="I182" s="292"/>
      <c r="J182" s="78"/>
    </row>
    <row r="183" spans="1:12">
      <c r="A183" s="338">
        <v>2018</v>
      </c>
      <c r="B183" s="268" t="s">
        <v>90</v>
      </c>
      <c r="C183" s="310">
        <v>-35806.229999999996</v>
      </c>
      <c r="D183" s="310">
        <v>0</v>
      </c>
      <c r="E183" s="311">
        <v>-33817.43</v>
      </c>
      <c r="F183" s="331">
        <f t="shared" si="1"/>
        <v>-69623.66</v>
      </c>
      <c r="G183" s="65"/>
      <c r="I183" s="292"/>
      <c r="J183" s="78"/>
    </row>
    <row r="184" spans="1:12">
      <c r="A184" s="338">
        <v>2019</v>
      </c>
      <c r="B184" s="268" t="s">
        <v>811</v>
      </c>
      <c r="C184" s="310">
        <v>-27759.010000000002</v>
      </c>
      <c r="D184" s="310">
        <v>0</v>
      </c>
      <c r="E184" s="311">
        <v>-31464.44</v>
      </c>
      <c r="F184" s="331">
        <f t="shared" si="1"/>
        <v>-59223.45</v>
      </c>
      <c r="G184" s="65"/>
      <c r="H184" s="149"/>
      <c r="I184" s="292"/>
      <c r="J184" s="78"/>
    </row>
    <row r="185" spans="1:12">
      <c r="A185" s="338">
        <v>2020</v>
      </c>
      <c r="B185" s="268" t="s">
        <v>94</v>
      </c>
      <c r="C185" s="310">
        <v>-5352.23</v>
      </c>
      <c r="D185" s="310">
        <v>0</v>
      </c>
      <c r="E185" s="311">
        <v>-3895.43</v>
      </c>
      <c r="F185" s="331">
        <f t="shared" si="1"/>
        <v>-9247.66</v>
      </c>
      <c r="G185" s="65"/>
      <c r="I185" s="292"/>
      <c r="J185" s="78"/>
    </row>
    <row r="186" spans="1:12">
      <c r="A186" s="338">
        <v>2021</v>
      </c>
      <c r="B186" s="268" t="s">
        <v>923</v>
      </c>
      <c r="C186" s="310">
        <v>13394.2</v>
      </c>
      <c r="D186" s="310">
        <v>0</v>
      </c>
      <c r="E186" s="311">
        <v>-79135.3</v>
      </c>
      <c r="F186" s="331">
        <f t="shared" si="1"/>
        <v>-65741.100000000006</v>
      </c>
      <c r="G186" s="65"/>
      <c r="I186" s="292"/>
      <c r="J186" s="78"/>
    </row>
    <row r="187" spans="1:12">
      <c r="A187" s="338">
        <v>2024</v>
      </c>
      <c r="B187" s="268" t="s">
        <v>96</v>
      </c>
      <c r="C187" s="310">
        <v>41510.509999999995</v>
      </c>
      <c r="D187" s="310">
        <v>0</v>
      </c>
      <c r="E187" s="311">
        <v>-67738.240000000005</v>
      </c>
      <c r="F187" s="331">
        <f t="shared" si="1"/>
        <v>-26227.73000000001</v>
      </c>
      <c r="G187" s="65"/>
      <c r="I187" s="292"/>
      <c r="J187" s="78"/>
    </row>
    <row r="188" spans="1:12">
      <c r="A188" s="338">
        <v>2025</v>
      </c>
      <c r="B188" s="268" t="s">
        <v>98</v>
      </c>
      <c r="C188" s="310">
        <v>-1021.61</v>
      </c>
      <c r="D188" s="310">
        <v>0</v>
      </c>
      <c r="E188" s="311">
        <v>0</v>
      </c>
      <c r="F188" s="331">
        <f t="shared" si="1"/>
        <v>-1021.61</v>
      </c>
      <c r="G188" s="65"/>
      <c r="I188" s="292"/>
      <c r="J188" s="78"/>
    </row>
    <row r="189" spans="1:12">
      <c r="A189" s="338">
        <v>2026</v>
      </c>
      <c r="B189" s="268" t="s">
        <v>100</v>
      </c>
      <c r="C189" s="310">
        <v>-13919.65</v>
      </c>
      <c r="D189" s="310">
        <v>0</v>
      </c>
      <c r="E189" s="311">
        <v>0</v>
      </c>
      <c r="F189" s="331">
        <f t="shared" si="1"/>
        <v>-13919.65</v>
      </c>
      <c r="G189" s="65"/>
      <c r="I189" s="292"/>
      <c r="J189" s="78"/>
    </row>
    <row r="190" spans="1:12">
      <c r="A190" s="338">
        <v>2027</v>
      </c>
      <c r="B190" s="268" t="s">
        <v>102</v>
      </c>
      <c r="C190" s="310">
        <v>-100143.60999999999</v>
      </c>
      <c r="D190" s="310">
        <v>0</v>
      </c>
      <c r="E190" s="311">
        <v>-81671.19</v>
      </c>
      <c r="F190" s="331">
        <f t="shared" si="1"/>
        <v>-181814.8</v>
      </c>
      <c r="G190" s="65"/>
      <c r="H190" s="78"/>
      <c r="I190" s="292"/>
      <c r="J190" s="78"/>
      <c r="L190" s="78"/>
    </row>
    <row r="191" spans="1:12">
      <c r="A191" s="338">
        <v>2028</v>
      </c>
      <c r="B191" s="268" t="s">
        <v>569</v>
      </c>
      <c r="C191" s="310">
        <v>-13136.73</v>
      </c>
      <c r="D191" s="310">
        <v>0</v>
      </c>
      <c r="E191" s="311">
        <v>-17197</v>
      </c>
      <c r="F191" s="331">
        <f t="shared" si="1"/>
        <v>-30333.73</v>
      </c>
      <c r="G191" s="65"/>
      <c r="I191" s="292"/>
      <c r="J191" s="78"/>
    </row>
    <row r="192" spans="1:12">
      <c r="A192" s="338">
        <v>2029</v>
      </c>
      <c r="B192" s="268" t="s">
        <v>106</v>
      </c>
      <c r="C192" s="310">
        <v>-68353.599999999991</v>
      </c>
      <c r="D192" s="310">
        <v>0</v>
      </c>
      <c r="E192" s="311">
        <v>-7906.89</v>
      </c>
      <c r="F192" s="331">
        <f t="shared" si="1"/>
        <v>-76260.489999999991</v>
      </c>
      <c r="G192" s="65"/>
      <c r="I192" s="292"/>
      <c r="J192" s="78"/>
    </row>
    <row r="193" spans="1:10">
      <c r="A193" s="338">
        <v>2030</v>
      </c>
      <c r="B193" s="268" t="s">
        <v>108</v>
      </c>
      <c r="C193" s="310">
        <v>-43298.930000000008</v>
      </c>
      <c r="D193" s="310">
        <v>0</v>
      </c>
      <c r="E193" s="311">
        <v>-13313.28</v>
      </c>
      <c r="F193" s="331">
        <f t="shared" si="1"/>
        <v>-56612.210000000006</v>
      </c>
      <c r="G193" s="65"/>
      <c r="I193" s="292"/>
      <c r="J193" s="78"/>
    </row>
    <row r="194" spans="1:10">
      <c r="A194" s="338">
        <v>2031</v>
      </c>
      <c r="B194" s="268" t="s">
        <v>570</v>
      </c>
      <c r="C194" s="310">
        <v>-147168.07999999999</v>
      </c>
      <c r="D194" s="310">
        <v>0</v>
      </c>
      <c r="E194" s="311">
        <v>-82686.17</v>
      </c>
      <c r="F194" s="331">
        <f t="shared" si="1"/>
        <v>-229854.25</v>
      </c>
      <c r="G194" s="65"/>
      <c r="I194" s="292"/>
      <c r="J194" s="78"/>
    </row>
    <row r="195" spans="1:10">
      <c r="A195" s="338">
        <v>2032</v>
      </c>
      <c r="B195" s="268" t="s">
        <v>112</v>
      </c>
      <c r="C195" s="310">
        <v>-8626.34</v>
      </c>
      <c r="D195" s="310">
        <v>0</v>
      </c>
      <c r="E195" s="311">
        <v>-12771.69</v>
      </c>
      <c r="F195" s="331">
        <f t="shared" si="1"/>
        <v>-21398.03</v>
      </c>
      <c r="G195" s="65"/>
      <c r="I195" s="292"/>
      <c r="J195" s="78"/>
    </row>
    <row r="196" spans="1:10">
      <c r="A196" s="338">
        <v>2033</v>
      </c>
      <c r="B196" s="268" t="s">
        <v>892</v>
      </c>
      <c r="C196" s="310">
        <v>-274774.07</v>
      </c>
      <c r="D196" s="310">
        <v>0</v>
      </c>
      <c r="E196" s="311">
        <v>-26699.93</v>
      </c>
      <c r="F196" s="331">
        <f t="shared" si="1"/>
        <v>-301474</v>
      </c>
      <c r="G196" s="65"/>
      <c r="I196" s="292"/>
      <c r="J196" s="78"/>
    </row>
    <row r="197" spans="1:10">
      <c r="A197" s="338">
        <v>2034</v>
      </c>
      <c r="B197" s="268" t="s">
        <v>114</v>
      </c>
      <c r="C197" s="310">
        <v>-71390.209999999992</v>
      </c>
      <c r="D197" s="310">
        <v>0</v>
      </c>
      <c r="E197" s="311">
        <v>-9555.5499999999993</v>
      </c>
      <c r="F197" s="331">
        <f t="shared" si="1"/>
        <v>-80945.759999999995</v>
      </c>
      <c r="G197" s="65"/>
      <c r="I197" s="292"/>
      <c r="J197" s="78"/>
    </row>
    <row r="198" spans="1:10">
      <c r="A198" s="338">
        <v>2035</v>
      </c>
      <c r="B198" s="268" t="s">
        <v>116</v>
      </c>
      <c r="C198" s="310">
        <v>-51237.289999999994</v>
      </c>
      <c r="D198" s="310">
        <v>0</v>
      </c>
      <c r="E198" s="311">
        <v>-66214.22</v>
      </c>
      <c r="F198" s="331">
        <f t="shared" si="1"/>
        <v>-117451.51</v>
      </c>
      <c r="G198" s="65"/>
      <c r="I198" s="292"/>
      <c r="J198" s="78"/>
    </row>
    <row r="199" spans="1:10">
      <c r="A199" s="338">
        <v>2036</v>
      </c>
      <c r="B199" s="268" t="s">
        <v>571</v>
      </c>
      <c r="C199" s="310">
        <v>-8007</v>
      </c>
      <c r="D199" s="310">
        <v>0</v>
      </c>
      <c r="E199" s="311">
        <v>0</v>
      </c>
      <c r="F199" s="331">
        <f t="shared" si="1"/>
        <v>-8007</v>
      </c>
      <c r="G199" s="65"/>
      <c r="I199" s="292"/>
      <c r="J199" s="78"/>
    </row>
    <row r="200" spans="1:10">
      <c r="A200" s="338">
        <v>2037</v>
      </c>
      <c r="B200" s="268" t="s">
        <v>924</v>
      </c>
      <c r="C200" s="310">
        <v>-428204.61</v>
      </c>
      <c r="D200" s="310">
        <v>0</v>
      </c>
      <c r="E200" s="311">
        <v>16455.57</v>
      </c>
      <c r="F200" s="331">
        <f t="shared" si="1"/>
        <v>-411749.04</v>
      </c>
      <c r="G200" s="65"/>
      <c r="I200" s="292"/>
      <c r="J200" s="78"/>
    </row>
    <row r="201" spans="1:10">
      <c r="A201" s="338">
        <v>2038</v>
      </c>
      <c r="B201" s="268" t="s">
        <v>573</v>
      </c>
      <c r="C201" s="310">
        <v>-16405.759999999998</v>
      </c>
      <c r="D201" s="310">
        <v>0</v>
      </c>
      <c r="E201" s="311">
        <v>0</v>
      </c>
      <c r="F201" s="331">
        <f t="shared" si="1"/>
        <v>-16405.759999999998</v>
      </c>
      <c r="G201" s="65"/>
      <c r="I201" s="292"/>
      <c r="J201" s="78"/>
    </row>
    <row r="202" spans="1:10">
      <c r="A202" s="338">
        <v>2039</v>
      </c>
      <c r="B202" s="332" t="s">
        <v>751</v>
      </c>
      <c r="C202" s="310">
        <v>-89666.76999999999</v>
      </c>
      <c r="D202" s="310">
        <v>0</v>
      </c>
      <c r="E202" s="311">
        <v>-10898.04</v>
      </c>
      <c r="F202" s="331">
        <f t="shared" si="1"/>
        <v>-100564.81</v>
      </c>
      <c r="G202" s="65"/>
      <c r="I202" s="292"/>
      <c r="J202" s="78"/>
    </row>
    <row r="203" spans="1:10">
      <c r="A203" s="338">
        <v>2040</v>
      </c>
      <c r="B203" s="268" t="s">
        <v>528</v>
      </c>
      <c r="C203" s="310">
        <v>-541013.30000000005</v>
      </c>
      <c r="D203" s="310">
        <v>0</v>
      </c>
      <c r="E203" s="311">
        <v>0</v>
      </c>
      <c r="F203" s="331">
        <f t="shared" si="1"/>
        <v>-541013.30000000005</v>
      </c>
      <c r="G203" s="65"/>
      <c r="I203" s="292"/>
      <c r="J203" s="78"/>
    </row>
    <row r="204" spans="1:10">
      <c r="A204" s="338">
        <v>2041</v>
      </c>
      <c r="B204" s="268" t="s">
        <v>126</v>
      </c>
      <c r="C204" s="310">
        <v>-96296.55</v>
      </c>
      <c r="D204" s="310">
        <v>0</v>
      </c>
      <c r="E204" s="311">
        <v>0</v>
      </c>
      <c r="F204" s="331">
        <f t="shared" si="1"/>
        <v>-96296.55</v>
      </c>
      <c r="G204" s="65"/>
      <c r="I204" s="292"/>
      <c r="J204" s="78"/>
    </row>
    <row r="205" spans="1:10">
      <c r="A205" s="338">
        <v>2042</v>
      </c>
      <c r="B205" s="268" t="s">
        <v>893</v>
      </c>
      <c r="C205" s="310">
        <v>-26025.8</v>
      </c>
      <c r="D205" s="310">
        <v>0</v>
      </c>
      <c r="E205" s="311">
        <v>4189.8</v>
      </c>
      <c r="F205" s="331">
        <f t="shared" si="1"/>
        <v>-21836</v>
      </c>
      <c r="G205" s="65"/>
      <c r="I205" s="292"/>
      <c r="J205" s="78"/>
    </row>
    <row r="206" spans="1:10">
      <c r="A206" s="338">
        <v>2045</v>
      </c>
      <c r="B206" s="268" t="s">
        <v>128</v>
      </c>
      <c r="C206" s="310">
        <v>35486.9</v>
      </c>
      <c r="D206" s="310">
        <v>0</v>
      </c>
      <c r="E206" s="311">
        <v>912.8</v>
      </c>
      <c r="F206" s="331">
        <f t="shared" si="1"/>
        <v>36399.700000000004</v>
      </c>
      <c r="G206" s="65"/>
      <c r="I206" s="292"/>
      <c r="J206" s="78"/>
    </row>
    <row r="207" spans="1:10">
      <c r="A207" s="338"/>
      <c r="B207" s="268" t="s">
        <v>752</v>
      </c>
      <c r="C207" s="310">
        <v>94205</v>
      </c>
      <c r="D207" s="310">
        <v>0</v>
      </c>
      <c r="E207" s="311">
        <v>0</v>
      </c>
      <c r="F207" s="331">
        <f t="shared" si="1"/>
        <v>94205</v>
      </c>
      <c r="G207" s="65"/>
      <c r="I207" s="292"/>
      <c r="J207" s="78"/>
    </row>
    <row r="208" spans="1:10">
      <c r="A208" s="338">
        <v>2047</v>
      </c>
      <c r="B208" s="268" t="s">
        <v>925</v>
      </c>
      <c r="C208" s="310">
        <v>13525.88</v>
      </c>
      <c r="D208" s="310">
        <v>0</v>
      </c>
      <c r="E208" s="311">
        <v>-47704.63</v>
      </c>
      <c r="F208" s="331">
        <f t="shared" si="1"/>
        <v>-34178.75</v>
      </c>
      <c r="G208" s="65"/>
      <c r="I208" s="292"/>
      <c r="J208" s="78"/>
    </row>
    <row r="209" spans="1:10">
      <c r="A209" s="338">
        <v>2048</v>
      </c>
      <c r="B209" s="268" t="s">
        <v>926</v>
      </c>
      <c r="C209" s="310">
        <v>0</v>
      </c>
      <c r="D209" s="310">
        <v>0</v>
      </c>
      <c r="E209" s="311">
        <v>-60979.83</v>
      </c>
      <c r="F209" s="331">
        <f t="shared" si="1"/>
        <v>-60979.83</v>
      </c>
      <c r="G209" s="65"/>
      <c r="I209" s="292"/>
      <c r="J209" s="78"/>
    </row>
    <row r="210" spans="1:10">
      <c r="A210" s="338">
        <v>2050</v>
      </c>
      <c r="B210" s="268" t="s">
        <v>694</v>
      </c>
      <c r="C210" s="310">
        <v>118470.34</v>
      </c>
      <c r="D210" s="310">
        <v>0</v>
      </c>
      <c r="E210" s="311">
        <v>-30094.65</v>
      </c>
      <c r="F210" s="331">
        <f t="shared" si="1"/>
        <v>88375.69</v>
      </c>
      <c r="G210" s="65"/>
      <c r="I210" s="292"/>
      <c r="J210" s="78"/>
    </row>
    <row r="211" spans="1:10">
      <c r="A211" s="338">
        <v>2051</v>
      </c>
      <c r="B211" s="332" t="s">
        <v>961</v>
      </c>
      <c r="C211" s="310">
        <v>0</v>
      </c>
      <c r="D211" s="310">
        <v>0</v>
      </c>
      <c r="E211" s="311">
        <v>-62681.25</v>
      </c>
      <c r="F211" s="331">
        <f t="shared" si="1"/>
        <v>-62681.25</v>
      </c>
      <c r="G211" s="65"/>
      <c r="I211" s="292"/>
      <c r="J211" s="78"/>
    </row>
    <row r="212" spans="1:10">
      <c r="A212" s="338">
        <v>2055</v>
      </c>
      <c r="B212" s="268" t="s">
        <v>574</v>
      </c>
      <c r="C212" s="310">
        <v>-398307.07999999996</v>
      </c>
      <c r="D212" s="310">
        <v>0</v>
      </c>
      <c r="E212" s="311">
        <v>-34485.72</v>
      </c>
      <c r="F212" s="331">
        <f t="shared" si="1"/>
        <v>-432792.79999999993</v>
      </c>
      <c r="G212" s="65"/>
      <c r="I212" s="292"/>
      <c r="J212" s="78"/>
    </row>
    <row r="213" spans="1:10">
      <c r="A213" s="338">
        <v>2070</v>
      </c>
      <c r="B213" s="268" t="s">
        <v>134</v>
      </c>
      <c r="C213" s="310">
        <v>-11107492.57</v>
      </c>
      <c r="D213" s="310">
        <v>0</v>
      </c>
      <c r="E213" s="311">
        <v>-34743.21</v>
      </c>
      <c r="F213" s="331">
        <f t="shared" si="1"/>
        <v>-11142235.780000001</v>
      </c>
      <c r="G213" s="65"/>
      <c r="I213" s="292"/>
      <c r="J213" s="78"/>
    </row>
    <row r="214" spans="1:10">
      <c r="A214" s="338">
        <v>2080</v>
      </c>
      <c r="B214" s="268" t="s">
        <v>136</v>
      </c>
      <c r="C214" s="310">
        <v>-746687.54</v>
      </c>
      <c r="D214" s="310">
        <v>0</v>
      </c>
      <c r="E214" s="311">
        <v>20798.5</v>
      </c>
      <c r="F214" s="331">
        <f t="shared" si="1"/>
        <v>-725889.04</v>
      </c>
      <c r="G214" s="65"/>
      <c r="I214" s="292"/>
      <c r="J214" s="78"/>
    </row>
    <row r="215" spans="1:10">
      <c r="A215" s="338">
        <v>2090</v>
      </c>
      <c r="B215" s="268" t="s">
        <v>695</v>
      </c>
      <c r="C215" s="310">
        <v>106985.63</v>
      </c>
      <c r="D215" s="310">
        <v>0</v>
      </c>
      <c r="E215" s="311">
        <v>35059.31</v>
      </c>
      <c r="F215" s="331">
        <f t="shared" si="1"/>
        <v>142044.94</v>
      </c>
      <c r="G215" s="65"/>
      <c r="I215" s="292"/>
      <c r="J215" s="78"/>
    </row>
    <row r="216" spans="1:10" ht="13.8" thickBot="1">
      <c r="A216" s="339"/>
      <c r="B216" s="333" t="s">
        <v>759</v>
      </c>
      <c r="C216" s="334">
        <f t="shared" ref="C216:E216" si="2">SUM(C166:C215)</f>
        <v>-14143865.49</v>
      </c>
      <c r="D216" s="334">
        <f t="shared" si="2"/>
        <v>0</v>
      </c>
      <c r="E216" s="334">
        <f t="shared" si="2"/>
        <v>-1712415.0899999992</v>
      </c>
      <c r="F216" s="335">
        <f>SUM(F166:F215)</f>
        <v>-15856280.58</v>
      </c>
      <c r="G216" s="65"/>
      <c r="I216" s="292"/>
    </row>
    <row r="217" spans="1:10">
      <c r="A217" s="65"/>
      <c r="B217" s="65"/>
      <c r="C217" s="156"/>
      <c r="D217" s="156"/>
      <c r="E217" s="156"/>
      <c r="F217" s="156"/>
      <c r="G217" s="65"/>
    </row>
    <row r="218" spans="1:10">
      <c r="A218" s="65"/>
      <c r="B218" s="65"/>
      <c r="C218" s="156"/>
      <c r="D218" s="156"/>
      <c r="E218" s="156"/>
      <c r="F218" s="156"/>
      <c r="G218" s="65"/>
    </row>
    <row r="219" spans="1:10">
      <c r="A219" s="157" t="s">
        <v>479</v>
      </c>
      <c r="B219" s="312" t="s">
        <v>482</v>
      </c>
      <c r="C219" s="156"/>
      <c r="D219" s="156"/>
      <c r="E219" s="156"/>
      <c r="F219" s="156"/>
      <c r="G219" s="65"/>
    </row>
    <row r="220" spans="1:10" s="65" customFormat="1">
      <c r="B220" s="76" t="s">
        <v>964</v>
      </c>
      <c r="C220" s="156"/>
      <c r="D220" s="156"/>
      <c r="E220" s="156"/>
      <c r="F220" s="156"/>
    </row>
    <row r="221" spans="1:10">
      <c r="A221" s="65"/>
      <c r="B221" s="65"/>
      <c r="C221" s="156"/>
      <c r="D221" s="156"/>
      <c r="E221" s="156"/>
      <c r="F221" s="156"/>
      <c r="G221" s="65"/>
    </row>
    <row r="222" spans="1:10">
      <c r="A222" s="157" t="s">
        <v>374</v>
      </c>
      <c r="B222" s="157" t="s">
        <v>374</v>
      </c>
      <c r="C222" s="156"/>
      <c r="D222" s="156"/>
      <c r="E222" s="156"/>
      <c r="F222" s="156"/>
      <c r="G222" s="65"/>
    </row>
    <row r="223" spans="1:10">
      <c r="A223" s="157"/>
      <c r="B223" s="157"/>
      <c r="C223" s="156"/>
      <c r="D223" s="156"/>
      <c r="E223" s="156"/>
      <c r="F223" s="156"/>
      <c r="G223" s="65"/>
    </row>
    <row r="224" spans="1:10">
      <c r="A224" s="65"/>
      <c r="B224" s="146"/>
      <c r="C224" s="156"/>
      <c r="D224" s="156"/>
      <c r="E224" s="156"/>
      <c r="F224" s="156"/>
      <c r="G224" s="65"/>
    </row>
    <row r="225" spans="1:7">
      <c r="A225" s="65"/>
      <c r="B225" s="146"/>
      <c r="C225" s="156"/>
      <c r="D225" s="156"/>
      <c r="E225" s="156"/>
      <c r="F225" s="156"/>
      <c r="G225" s="65"/>
    </row>
    <row r="226" spans="1:7">
      <c r="A226" s="65"/>
      <c r="B226" s="146"/>
      <c r="C226" s="156"/>
      <c r="D226" s="156"/>
      <c r="E226" s="156"/>
      <c r="F226" s="156"/>
      <c r="G226" s="65"/>
    </row>
    <row r="227" spans="1:7">
      <c r="B227" s="149"/>
    </row>
    <row r="228" spans="1:7">
      <c r="B228" s="149"/>
    </row>
    <row r="229" spans="1:7">
      <c r="B229" s="149"/>
    </row>
    <row r="230" spans="1:7">
      <c r="B230" s="149"/>
    </row>
  </sheetData>
  <mergeCells count="6">
    <mergeCell ref="F164:F165"/>
    <mergeCell ref="A164:A165"/>
    <mergeCell ref="B164:B165"/>
    <mergeCell ref="C164:C165"/>
    <mergeCell ref="D164:D165"/>
    <mergeCell ref="E164:E165"/>
  </mergeCells>
  <pageMargins left="0.7" right="0.7" top="0.75" bottom="0.75" header="0.3" footer="0.3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15E4-D314-4CC6-BCB5-EA0B4F2FC4C4}">
  <dimension ref="A1:AB263"/>
  <sheetViews>
    <sheetView workbookViewId="0">
      <pane xSplit="2" ySplit="2" topLeftCell="C3" activePane="bottomRight" state="frozen"/>
      <selection activeCell="B16" sqref="B16"/>
      <selection pane="topRight" activeCell="B16" sqref="B16"/>
      <selection pane="bottomLeft" activeCell="B16" sqref="B16"/>
      <selection pane="bottomRight" activeCell="D14" sqref="D14"/>
    </sheetView>
  </sheetViews>
  <sheetFormatPr baseColWidth="10" defaultColWidth="11.5546875" defaultRowHeight="13.2"/>
  <cols>
    <col min="2" max="2" width="56.33203125" bestFit="1" customWidth="1"/>
    <col min="3" max="3" width="12.33203125" style="23" bestFit="1" customWidth="1"/>
    <col min="4" max="5" width="12.33203125" bestFit="1" customWidth="1"/>
    <col min="6" max="6" width="15.5546875" style="131" bestFit="1" customWidth="1"/>
    <col min="7" max="7" width="13.44140625" style="131" bestFit="1" customWidth="1"/>
    <col min="8" max="9" width="12.33203125" bestFit="1" customWidth="1"/>
    <col min="10" max="10" width="13.109375" customWidth="1"/>
    <col min="11" max="11" width="12.109375" customWidth="1"/>
  </cols>
  <sheetData>
    <row r="1" spans="1:28" ht="21" customHeight="1">
      <c r="A1" s="208" t="s">
        <v>827</v>
      </c>
      <c r="B1" s="209"/>
      <c r="C1" s="369" t="s">
        <v>896</v>
      </c>
      <c r="D1" s="370"/>
      <c r="E1" s="371"/>
      <c r="F1" s="372" t="s">
        <v>863</v>
      </c>
      <c r="G1" s="373"/>
      <c r="H1" s="374"/>
    </row>
    <row r="2" spans="1:28" ht="14.4">
      <c r="A2" s="210" t="s">
        <v>544</v>
      </c>
      <c r="B2" s="204" t="s">
        <v>545</v>
      </c>
      <c r="C2" s="256" t="s">
        <v>814</v>
      </c>
      <c r="D2" s="238" t="s">
        <v>816</v>
      </c>
      <c r="E2" s="211" t="s">
        <v>817</v>
      </c>
      <c r="F2" s="240" t="s">
        <v>814</v>
      </c>
      <c r="G2" s="224" t="s">
        <v>816</v>
      </c>
      <c r="H2" s="211" t="s">
        <v>817</v>
      </c>
    </row>
    <row r="3" spans="1:28">
      <c r="A3" s="212">
        <v>1000</v>
      </c>
      <c r="B3" s="213" t="s">
        <v>549</v>
      </c>
      <c r="C3" s="241">
        <v>0</v>
      </c>
      <c r="D3" s="206"/>
      <c r="E3" s="214"/>
      <c r="F3" s="241">
        <v>0</v>
      </c>
      <c r="G3" s="206">
        <f>F3</f>
        <v>0</v>
      </c>
      <c r="H3" s="214"/>
      <c r="I3" s="1">
        <f t="shared" ref="I3:K69" si="0">C3-F3</f>
        <v>0</v>
      </c>
      <c r="J3" s="1">
        <f t="shared" si="0"/>
        <v>0</v>
      </c>
      <c r="K3" s="1">
        <f>E3-H3</f>
        <v>0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>
      <c r="A4" s="212">
        <v>1101</v>
      </c>
      <c r="B4" s="213" t="s">
        <v>508</v>
      </c>
      <c r="C4" s="241">
        <v>1287790</v>
      </c>
      <c r="D4" s="206"/>
      <c r="E4" s="214"/>
      <c r="F4" s="241">
        <v>1287790</v>
      </c>
      <c r="G4" s="206"/>
      <c r="H4" s="214"/>
      <c r="I4" s="1">
        <f t="shared" si="0"/>
        <v>0</v>
      </c>
      <c r="J4" s="1">
        <f t="shared" si="0"/>
        <v>0</v>
      </c>
      <c r="K4" s="1">
        <f t="shared" si="0"/>
        <v>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>
      <c r="A5" s="212">
        <v>1102</v>
      </c>
      <c r="B5" s="213" t="s">
        <v>512</v>
      </c>
      <c r="C5" s="241">
        <v>45000</v>
      </c>
      <c r="D5" s="206"/>
      <c r="E5" s="214"/>
      <c r="F5" s="241">
        <v>45000</v>
      </c>
      <c r="G5" s="206"/>
      <c r="H5" s="214"/>
      <c r="I5" s="1">
        <f t="shared" si="0"/>
        <v>0</v>
      </c>
      <c r="J5" s="1">
        <f t="shared" si="0"/>
        <v>0</v>
      </c>
      <c r="K5" s="1">
        <f t="shared" si="0"/>
        <v>0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12">
        <v>1110</v>
      </c>
      <c r="B6" s="213" t="s">
        <v>550</v>
      </c>
      <c r="C6" s="241">
        <v>0</v>
      </c>
      <c r="D6" s="206">
        <f>SUM(C4:C6)</f>
        <v>1332790</v>
      </c>
      <c r="E6" s="214"/>
      <c r="F6" s="241">
        <v>0</v>
      </c>
      <c r="G6" s="206">
        <f>SUM(F4:F6)</f>
        <v>1332790</v>
      </c>
      <c r="H6" s="214"/>
      <c r="I6" s="1">
        <f t="shared" si="0"/>
        <v>0</v>
      </c>
      <c r="J6" s="1">
        <f t="shared" si="0"/>
        <v>0</v>
      </c>
      <c r="K6" s="1">
        <f t="shared" si="0"/>
        <v>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12">
        <v>1225</v>
      </c>
      <c r="B7" s="213" t="s">
        <v>897</v>
      </c>
      <c r="C7" s="242">
        <v>284374.93</v>
      </c>
      <c r="D7" s="206"/>
      <c r="E7" s="214"/>
      <c r="F7" s="242">
        <v>0</v>
      </c>
      <c r="G7" s="206"/>
      <c r="H7" s="214"/>
      <c r="I7" s="1">
        <f t="shared" si="0"/>
        <v>284374.93</v>
      </c>
      <c r="J7" s="1">
        <f t="shared" si="0"/>
        <v>0</v>
      </c>
      <c r="K7" s="1">
        <f t="shared" si="0"/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12">
        <v>1250</v>
      </c>
      <c r="B8" s="213" t="s">
        <v>14</v>
      </c>
      <c r="C8" s="242">
        <v>0</v>
      </c>
      <c r="D8" s="206"/>
      <c r="E8" s="214"/>
      <c r="F8" s="242">
        <f>-0.17+0.17</f>
        <v>0</v>
      </c>
      <c r="G8" s="206"/>
      <c r="H8" s="214"/>
      <c r="I8" s="1">
        <f t="shared" si="0"/>
        <v>0</v>
      </c>
      <c r="J8" s="1">
        <f t="shared" si="0"/>
        <v>0</v>
      </c>
      <c r="K8" s="1">
        <f t="shared" si="0"/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12">
        <v>1251</v>
      </c>
      <c r="B9" s="213" t="s">
        <v>688</v>
      </c>
      <c r="C9" s="242">
        <v>3997</v>
      </c>
      <c r="D9" s="206"/>
      <c r="E9" s="214"/>
      <c r="F9" s="242">
        <v>9085</v>
      </c>
      <c r="G9" s="206"/>
      <c r="H9" s="214"/>
      <c r="I9" s="1">
        <f t="shared" si="0"/>
        <v>-5088</v>
      </c>
      <c r="J9" s="1">
        <f t="shared" si="0"/>
        <v>0</v>
      </c>
      <c r="K9" s="1">
        <f t="shared" si="0"/>
        <v>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12">
        <v>1252</v>
      </c>
      <c r="B10" s="213" t="s">
        <v>689</v>
      </c>
      <c r="C10" s="242">
        <v>18559</v>
      </c>
      <c r="D10" s="206"/>
      <c r="E10" s="214"/>
      <c r="F10" s="242">
        <v>43314</v>
      </c>
      <c r="G10" s="206"/>
      <c r="H10" s="214"/>
      <c r="I10" s="1">
        <f t="shared" si="0"/>
        <v>-24755</v>
      </c>
      <c r="J10" s="1">
        <f t="shared" si="0"/>
        <v>0</v>
      </c>
      <c r="K10" s="1">
        <f t="shared" si="0"/>
        <v>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12">
        <v>1253</v>
      </c>
      <c r="B11" s="213" t="s">
        <v>690</v>
      </c>
      <c r="C11" s="242">
        <v>12500</v>
      </c>
      <c r="D11" s="232"/>
      <c r="E11" s="214">
        <f>SUM(D3:D11)</f>
        <v>1332790</v>
      </c>
      <c r="F11" s="242">
        <v>27500</v>
      </c>
      <c r="G11" s="232"/>
      <c r="H11" s="214">
        <f>SUM(G3:G11)</f>
        <v>1332790</v>
      </c>
      <c r="I11" s="1">
        <f t="shared" si="0"/>
        <v>-15000</v>
      </c>
      <c r="J11" s="1">
        <f t="shared" si="0"/>
        <v>0</v>
      </c>
      <c r="K11" s="1">
        <f t="shared" si="0"/>
        <v>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12">
        <v>1254</v>
      </c>
      <c r="B12" s="213" t="s">
        <v>864</v>
      </c>
      <c r="C12" s="242">
        <v>34388.58</v>
      </c>
      <c r="D12" s="232"/>
      <c r="E12" s="214"/>
      <c r="F12" s="242">
        <v>42985.73</v>
      </c>
      <c r="G12" s="232"/>
      <c r="H12" s="214"/>
      <c r="I12" s="1">
        <f t="shared" si="0"/>
        <v>-8597.1500000000015</v>
      </c>
      <c r="J12" s="1">
        <f t="shared" si="0"/>
        <v>0</v>
      </c>
      <c r="K12" s="1">
        <f t="shared" si="0"/>
        <v>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12">
        <v>1255</v>
      </c>
      <c r="B13" s="213" t="s">
        <v>898</v>
      </c>
      <c r="C13" s="242">
        <v>150553.07</v>
      </c>
      <c r="D13" s="232"/>
      <c r="E13" s="214"/>
      <c r="F13" s="242">
        <v>0</v>
      </c>
      <c r="G13" s="232"/>
      <c r="H13" s="214"/>
      <c r="I13" s="1">
        <f t="shared" si="0"/>
        <v>150553.07</v>
      </c>
      <c r="J13" s="1">
        <f t="shared" si="0"/>
        <v>0</v>
      </c>
      <c r="K13" s="1">
        <f t="shared" si="0"/>
        <v>0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12">
        <v>1280</v>
      </c>
      <c r="B14" s="213" t="s">
        <v>828</v>
      </c>
      <c r="C14" s="242">
        <v>13803</v>
      </c>
      <c r="D14" s="225">
        <f>SUM(C7:C14)</f>
        <v>518175.58</v>
      </c>
      <c r="E14" s="214"/>
      <c r="F14" s="242">
        <v>34506</v>
      </c>
      <c r="G14" s="225">
        <f>SUM(F7:F14)</f>
        <v>157390.73000000001</v>
      </c>
      <c r="H14" s="214"/>
      <c r="I14" s="1">
        <f t="shared" si="0"/>
        <v>-20703</v>
      </c>
      <c r="J14" s="1">
        <f t="shared" si="0"/>
        <v>360784.85</v>
      </c>
      <c r="K14" s="1">
        <f t="shared" si="0"/>
        <v>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12">
        <v>1465</v>
      </c>
      <c r="B15" s="213" t="s">
        <v>18</v>
      </c>
      <c r="C15" s="241">
        <v>115377.5</v>
      </c>
      <c r="D15" s="206">
        <f>C15</f>
        <v>115377.5</v>
      </c>
      <c r="E15" s="214"/>
      <c r="F15" s="241">
        <v>106961.13</v>
      </c>
      <c r="G15" s="206">
        <f>F15</f>
        <v>106961.13</v>
      </c>
      <c r="H15" s="214"/>
      <c r="I15" s="1">
        <f t="shared" si="0"/>
        <v>8416.3699999999953</v>
      </c>
      <c r="J15" s="1">
        <f t="shared" si="0"/>
        <v>8416.3699999999953</v>
      </c>
      <c r="K15" s="1">
        <f t="shared" si="0"/>
        <v>0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ht="14.4">
      <c r="A16" s="215">
        <v>1480</v>
      </c>
      <c r="B16" s="216" t="s">
        <v>762</v>
      </c>
      <c r="C16" s="243">
        <v>0</v>
      </c>
      <c r="D16" s="206"/>
      <c r="E16" s="214"/>
      <c r="F16" s="241">
        <v>0</v>
      </c>
      <c r="G16" s="206"/>
      <c r="H16" s="214"/>
      <c r="I16" s="1">
        <f t="shared" si="0"/>
        <v>0</v>
      </c>
      <c r="J16" s="1">
        <f t="shared" si="0"/>
        <v>0</v>
      </c>
      <c r="K16" s="1">
        <f t="shared" si="0"/>
        <v>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12">
        <v>1500</v>
      </c>
      <c r="B17" s="213" t="s">
        <v>552</v>
      </c>
      <c r="C17" s="243">
        <v>27950</v>
      </c>
      <c r="D17" s="206"/>
      <c r="E17" s="214"/>
      <c r="F17" s="243">
        <v>92724.7</v>
      </c>
      <c r="G17" s="226"/>
      <c r="H17" s="214"/>
      <c r="I17" s="1">
        <f t="shared" si="0"/>
        <v>-64774.7</v>
      </c>
      <c r="J17" s="1">
        <f t="shared" si="0"/>
        <v>0</v>
      </c>
      <c r="K17" s="1">
        <f t="shared" si="0"/>
        <v>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12">
        <v>1580</v>
      </c>
      <c r="B18" s="213" t="s">
        <v>553</v>
      </c>
      <c r="C18" s="243">
        <v>-27950</v>
      </c>
      <c r="D18" s="227">
        <f>SUM(C16:C18)</f>
        <v>0</v>
      </c>
      <c r="E18" s="214"/>
      <c r="F18" s="243">
        <v>-51945</v>
      </c>
      <c r="G18" s="227">
        <f>SUM(F16:F18)</f>
        <v>40779.699999999997</v>
      </c>
      <c r="H18" s="214"/>
      <c r="I18" s="1">
        <f t="shared" si="0"/>
        <v>23995</v>
      </c>
      <c r="J18" s="1">
        <f t="shared" si="0"/>
        <v>-40779.699999999997</v>
      </c>
      <c r="K18" s="1">
        <f t="shared" si="0"/>
        <v>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12">
        <v>1530</v>
      </c>
      <c r="B19" s="213" t="s">
        <v>554</v>
      </c>
      <c r="C19" s="244">
        <v>0</v>
      </c>
      <c r="D19" s="206"/>
      <c r="E19" s="214"/>
      <c r="F19" s="244">
        <v>138951</v>
      </c>
      <c r="G19" s="206"/>
      <c r="H19" s="214"/>
      <c r="I19" s="1">
        <f t="shared" si="0"/>
        <v>-138951</v>
      </c>
      <c r="J19" s="1">
        <f t="shared" si="0"/>
        <v>0</v>
      </c>
      <c r="K19" s="1">
        <f t="shared" si="0"/>
        <v>0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12">
        <v>1571</v>
      </c>
      <c r="B20" s="213" t="s">
        <v>691</v>
      </c>
      <c r="C20" s="244">
        <v>0</v>
      </c>
      <c r="D20" s="206"/>
      <c r="E20" s="214"/>
      <c r="F20" s="244">
        <v>0</v>
      </c>
      <c r="G20" s="206"/>
      <c r="H20" s="214"/>
      <c r="I20" s="1">
        <f t="shared" si="0"/>
        <v>0</v>
      </c>
      <c r="J20" s="1">
        <f t="shared" si="0"/>
        <v>0</v>
      </c>
      <c r="K20" s="1">
        <f t="shared" si="0"/>
        <v>0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12">
        <v>1572</v>
      </c>
      <c r="B21" s="213" t="s">
        <v>829</v>
      </c>
      <c r="C21" s="244">
        <v>0</v>
      </c>
      <c r="D21" s="206"/>
      <c r="E21" s="214"/>
      <c r="F21" s="244">
        <v>0</v>
      </c>
      <c r="G21" s="206"/>
      <c r="H21" s="214"/>
      <c r="I21" s="1">
        <f t="shared" si="0"/>
        <v>0</v>
      </c>
      <c r="J21" s="1">
        <f t="shared" si="0"/>
        <v>0</v>
      </c>
      <c r="K21" s="1">
        <f t="shared" si="0"/>
        <v>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12">
        <v>1700</v>
      </c>
      <c r="B22" s="213" t="s">
        <v>32</v>
      </c>
      <c r="C22" s="244">
        <v>0</v>
      </c>
      <c r="D22" s="206"/>
      <c r="E22" s="214"/>
      <c r="F22" s="244">
        <v>0</v>
      </c>
      <c r="G22" s="206"/>
      <c r="H22" s="214"/>
      <c r="I22" s="1">
        <f t="shared" si="0"/>
        <v>0</v>
      </c>
      <c r="J22" s="1">
        <f t="shared" si="0"/>
        <v>0</v>
      </c>
      <c r="K22" s="1">
        <f t="shared" si="0"/>
        <v>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12">
        <v>1720</v>
      </c>
      <c r="B23" s="213" t="s">
        <v>692</v>
      </c>
      <c r="C23" s="244">
        <v>0</v>
      </c>
      <c r="D23" s="206"/>
      <c r="E23" s="214"/>
      <c r="F23" s="244">
        <v>0</v>
      </c>
      <c r="G23" s="206"/>
      <c r="H23" s="214"/>
      <c r="I23" s="1">
        <f t="shared" si="0"/>
        <v>0</v>
      </c>
      <c r="J23" s="1">
        <f t="shared" si="0"/>
        <v>0</v>
      </c>
      <c r="K23" s="1">
        <f t="shared" si="0"/>
        <v>0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12">
        <v>1749</v>
      </c>
      <c r="B24" s="213" t="s">
        <v>556</v>
      </c>
      <c r="C24" s="244">
        <v>159198.54</v>
      </c>
      <c r="D24" s="228">
        <f>SUM(C19:C24)</f>
        <v>159198.54</v>
      </c>
      <c r="E24" s="214"/>
      <c r="F24" s="244">
        <v>87939</v>
      </c>
      <c r="G24" s="228">
        <f>SUM(F19:F24)</f>
        <v>226890</v>
      </c>
      <c r="H24" s="214"/>
      <c r="I24" s="1">
        <f t="shared" si="0"/>
        <v>71259.540000000008</v>
      </c>
      <c r="J24" s="1">
        <f t="shared" si="0"/>
        <v>-67691.459999999992</v>
      </c>
      <c r="K24" s="1">
        <f t="shared" si="0"/>
        <v>0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12">
        <v>1910</v>
      </c>
      <c r="B25" s="213" t="s">
        <v>36</v>
      </c>
      <c r="C25" s="241">
        <v>8060.5</v>
      </c>
      <c r="D25" s="206"/>
      <c r="E25" s="214"/>
      <c r="F25" s="241">
        <v>10368</v>
      </c>
      <c r="G25" s="206"/>
      <c r="H25" s="214"/>
      <c r="I25" s="1">
        <f t="shared" si="0"/>
        <v>-2307.5</v>
      </c>
      <c r="J25" s="1">
        <f t="shared" si="0"/>
        <v>0</v>
      </c>
      <c r="K25" s="1">
        <f t="shared" si="0"/>
        <v>0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12">
        <v>1920</v>
      </c>
      <c r="B26" s="213" t="s">
        <v>557</v>
      </c>
      <c r="C26" s="241">
        <v>3735768.15</v>
      </c>
      <c r="D26" s="206"/>
      <c r="E26" s="214"/>
      <c r="F26" s="241">
        <v>2468683.7999999998</v>
      </c>
      <c r="G26" s="206"/>
      <c r="H26" s="214"/>
      <c r="I26" s="1">
        <f t="shared" si="0"/>
        <v>1267084.3500000001</v>
      </c>
      <c r="J26" s="1">
        <f t="shared" si="0"/>
        <v>0</v>
      </c>
      <c r="K26" s="1">
        <f t="shared" si="0"/>
        <v>0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12">
        <v>1921</v>
      </c>
      <c r="B27" s="213" t="s">
        <v>693</v>
      </c>
      <c r="C27" s="241">
        <v>4047.9</v>
      </c>
      <c r="D27" s="206"/>
      <c r="E27" s="214"/>
      <c r="F27" s="241">
        <v>4045.88</v>
      </c>
      <c r="G27" s="206"/>
      <c r="H27" s="214"/>
      <c r="I27" s="1">
        <f t="shared" si="0"/>
        <v>2.0199999999999818</v>
      </c>
      <c r="J27" s="1">
        <f t="shared" si="0"/>
        <v>0</v>
      </c>
      <c r="K27" s="1">
        <f t="shared" si="0"/>
        <v>0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12">
        <v>1523</v>
      </c>
      <c r="B28" s="213" t="s">
        <v>830</v>
      </c>
      <c r="C28" s="241">
        <v>502100.2</v>
      </c>
      <c r="D28" s="206"/>
      <c r="E28" s="214"/>
      <c r="F28" s="241">
        <v>498401.11</v>
      </c>
      <c r="G28" s="206"/>
      <c r="H28" s="214"/>
      <c r="I28" s="1">
        <f t="shared" si="0"/>
        <v>3699.0900000000256</v>
      </c>
      <c r="J28" s="1">
        <f t="shared" si="0"/>
        <v>0</v>
      </c>
      <c r="K28" s="1">
        <f t="shared" si="0"/>
        <v>0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4.4">
      <c r="A29" s="215">
        <v>1922</v>
      </c>
      <c r="B29" s="216" t="s">
        <v>763</v>
      </c>
      <c r="C29" s="241">
        <v>4510.32</v>
      </c>
      <c r="D29" s="206"/>
      <c r="E29" s="214"/>
      <c r="F29" s="241">
        <v>4508.07</v>
      </c>
      <c r="G29" s="206"/>
      <c r="H29" s="214"/>
      <c r="I29" s="1">
        <f t="shared" si="0"/>
        <v>2.25</v>
      </c>
      <c r="J29" s="1">
        <f t="shared" si="0"/>
        <v>0</v>
      </c>
      <c r="K29" s="1">
        <f t="shared" si="0"/>
        <v>0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>
      <c r="A30" s="212">
        <v>1930</v>
      </c>
      <c r="B30" s="213" t="s">
        <v>558</v>
      </c>
      <c r="C30" s="241">
        <v>0</v>
      </c>
      <c r="D30" s="206"/>
      <c r="E30" s="214"/>
      <c r="F30" s="241">
        <v>0</v>
      </c>
      <c r="G30" s="206"/>
      <c r="H30" s="214"/>
      <c r="I30" s="1">
        <f t="shared" si="0"/>
        <v>0</v>
      </c>
      <c r="J30" s="1">
        <f t="shared" si="0"/>
        <v>0</v>
      </c>
      <c r="K30" s="1">
        <f t="shared" si="0"/>
        <v>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A31" s="212">
        <v>1931</v>
      </c>
      <c r="B31" s="213" t="s">
        <v>559</v>
      </c>
      <c r="C31" s="241">
        <v>0</v>
      </c>
      <c r="D31" s="206"/>
      <c r="E31" s="214"/>
      <c r="F31" s="241">
        <v>0</v>
      </c>
      <c r="G31" s="206"/>
      <c r="H31" s="214"/>
      <c r="I31" s="1">
        <f t="shared" si="0"/>
        <v>0</v>
      </c>
      <c r="J31" s="1">
        <f t="shared" si="0"/>
        <v>0</v>
      </c>
      <c r="K31" s="1">
        <f t="shared" si="0"/>
        <v>0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>
      <c r="A32" s="212">
        <v>1932</v>
      </c>
      <c r="B32" s="213" t="s">
        <v>831</v>
      </c>
      <c r="C32" s="241">
        <v>217991.33</v>
      </c>
      <c r="D32" s="206"/>
      <c r="E32" s="214"/>
      <c r="F32" s="241">
        <v>217882.39</v>
      </c>
      <c r="G32" s="206"/>
      <c r="H32" s="214"/>
      <c r="I32" s="1">
        <f t="shared" si="0"/>
        <v>108.93999999997322</v>
      </c>
      <c r="J32" s="1">
        <f t="shared" si="0"/>
        <v>0</v>
      </c>
      <c r="K32" s="1">
        <f t="shared" si="0"/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1:28">
      <c r="A33" s="212">
        <v>1936</v>
      </c>
      <c r="B33" s="213" t="s">
        <v>560</v>
      </c>
      <c r="C33" s="241">
        <v>0</v>
      </c>
      <c r="D33" s="206"/>
      <c r="E33" s="214"/>
      <c r="F33" s="241">
        <v>57.74</v>
      </c>
      <c r="G33" s="206"/>
      <c r="H33" s="214"/>
      <c r="I33" s="1">
        <f t="shared" si="0"/>
        <v>-57.74</v>
      </c>
      <c r="J33" s="1">
        <f t="shared" si="0"/>
        <v>0</v>
      </c>
      <c r="K33" s="1">
        <f t="shared" si="0"/>
        <v>0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</row>
    <row r="34" spans="1:28">
      <c r="A34" s="212">
        <v>1938</v>
      </c>
      <c r="B34" s="213" t="s">
        <v>44</v>
      </c>
      <c r="C34" s="241">
        <v>0</v>
      </c>
      <c r="D34" s="206"/>
      <c r="E34" s="214"/>
      <c r="F34" s="241">
        <v>0</v>
      </c>
      <c r="G34" s="206"/>
      <c r="H34" s="214"/>
      <c r="I34" s="1">
        <f t="shared" si="0"/>
        <v>0</v>
      </c>
      <c r="J34" s="1">
        <f t="shared" si="0"/>
        <v>0</v>
      </c>
      <c r="K34" s="1">
        <f t="shared" si="0"/>
        <v>0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5" spans="1:28">
      <c r="A35" s="212">
        <v>1940</v>
      </c>
      <c r="B35" s="213" t="s">
        <v>561</v>
      </c>
      <c r="C35" s="241">
        <v>0</v>
      </c>
      <c r="D35" s="206"/>
      <c r="E35" s="214"/>
      <c r="F35" s="241">
        <v>0</v>
      </c>
      <c r="G35" s="206"/>
      <c r="H35" s="214"/>
      <c r="I35" s="1">
        <f t="shared" si="0"/>
        <v>0</v>
      </c>
      <c r="J35" s="1">
        <f t="shared" si="0"/>
        <v>0</v>
      </c>
      <c r="K35" s="1">
        <f t="shared" si="0"/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</row>
    <row r="36" spans="1:28">
      <c r="A36" s="212">
        <v>1945</v>
      </c>
      <c r="B36" s="213" t="s">
        <v>48</v>
      </c>
      <c r="C36" s="241">
        <v>0</v>
      </c>
      <c r="D36" s="206"/>
      <c r="E36" s="214"/>
      <c r="F36" s="241">
        <v>0</v>
      </c>
      <c r="G36" s="206"/>
      <c r="H36" s="214"/>
      <c r="I36" s="1">
        <f t="shared" si="0"/>
        <v>0</v>
      </c>
      <c r="J36" s="1">
        <f t="shared" si="0"/>
        <v>0</v>
      </c>
      <c r="K36" s="1">
        <f t="shared" si="0"/>
        <v>0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</row>
    <row r="37" spans="1:28">
      <c r="A37" s="212">
        <v>1946</v>
      </c>
      <c r="B37" s="213" t="s">
        <v>50</v>
      </c>
      <c r="C37" s="241">
        <v>0</v>
      </c>
      <c r="D37" s="206"/>
      <c r="E37" s="214"/>
      <c r="F37" s="241">
        <v>0</v>
      </c>
      <c r="G37" s="206"/>
      <c r="H37" s="214"/>
      <c r="I37" s="1">
        <f t="shared" si="0"/>
        <v>0</v>
      </c>
      <c r="J37" s="1">
        <f t="shared" si="0"/>
        <v>0</v>
      </c>
      <c r="K37" s="1">
        <f t="shared" si="0"/>
        <v>0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8">
      <c r="A38" s="212">
        <v>1950</v>
      </c>
      <c r="B38" s="213" t="s">
        <v>562</v>
      </c>
      <c r="C38" s="241">
        <v>9434.18</v>
      </c>
      <c r="D38" s="206"/>
      <c r="E38" s="214"/>
      <c r="F38" s="241">
        <v>21419.18</v>
      </c>
      <c r="G38" s="206"/>
      <c r="H38" s="214"/>
      <c r="I38" s="1">
        <f t="shared" si="0"/>
        <v>-11985</v>
      </c>
      <c r="J38" s="1">
        <f t="shared" si="0"/>
        <v>0</v>
      </c>
      <c r="K38" s="1">
        <f t="shared" si="0"/>
        <v>0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1:28">
      <c r="A39" s="212">
        <v>1952</v>
      </c>
      <c r="B39" s="213" t="s">
        <v>563</v>
      </c>
      <c r="C39" s="241">
        <v>0</v>
      </c>
      <c r="D39" s="206"/>
      <c r="E39" s="214"/>
      <c r="F39" s="241">
        <v>0</v>
      </c>
      <c r="G39" s="206"/>
      <c r="H39" s="214"/>
      <c r="I39" s="1">
        <f t="shared" si="0"/>
        <v>0</v>
      </c>
      <c r="J39" s="1">
        <f t="shared" si="0"/>
        <v>0</v>
      </c>
      <c r="K39" s="1">
        <f t="shared" si="0"/>
        <v>0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</row>
    <row r="40" spans="1:28">
      <c r="A40" s="212">
        <v>1962</v>
      </c>
      <c r="B40" s="213" t="s">
        <v>564</v>
      </c>
      <c r="C40" s="260">
        <v>0</v>
      </c>
      <c r="D40" s="207">
        <f>SUM(C25:C40)</f>
        <v>4481912.58</v>
      </c>
      <c r="E40" s="259">
        <f>SUM(D15:D40)</f>
        <v>4756488.62</v>
      </c>
      <c r="F40" s="260">
        <v>0</v>
      </c>
      <c r="G40" s="207">
        <f>SUM(F25:F40)</f>
        <v>3225366.17</v>
      </c>
      <c r="H40" s="259">
        <f>SUM(G15:G40)</f>
        <v>3599997</v>
      </c>
      <c r="I40" s="1">
        <f t="shared" si="0"/>
        <v>0</v>
      </c>
      <c r="J40" s="1">
        <f t="shared" si="0"/>
        <v>1256546.4100000001</v>
      </c>
      <c r="K40" s="1">
        <f t="shared" si="0"/>
        <v>1156491.6200000001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1:28">
      <c r="A41" s="212"/>
      <c r="B41" s="218" t="s">
        <v>819</v>
      </c>
      <c r="C41" s="241">
        <f>SUM(C3:C40)</f>
        <v>6607454.2000000002</v>
      </c>
      <c r="D41" s="206"/>
      <c r="E41" s="214">
        <f>SUM(E11:E40)</f>
        <v>6089278.6200000001</v>
      </c>
      <c r="F41" s="241">
        <f>SUM(F3:F40)</f>
        <v>5090177.7299999995</v>
      </c>
      <c r="G41" s="206"/>
      <c r="H41" s="214">
        <f>SUM(H40,H11)</f>
        <v>4932787</v>
      </c>
      <c r="I41" s="1">
        <f t="shared" si="0"/>
        <v>1517276.4700000007</v>
      </c>
      <c r="J41" s="1">
        <f t="shared" si="0"/>
        <v>0</v>
      </c>
      <c r="K41" s="1">
        <f t="shared" si="0"/>
        <v>1156491.6200000001</v>
      </c>
      <c r="L41" s="27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1:28">
      <c r="A42" s="212"/>
      <c r="B42" s="213"/>
      <c r="C42" s="241" t="s">
        <v>374</v>
      </c>
      <c r="D42" s="206"/>
      <c r="E42" s="214"/>
      <c r="F42" s="241"/>
      <c r="G42" s="206"/>
      <c r="H42" s="214"/>
      <c r="I42" s="1"/>
      <c r="K42" s="1">
        <f t="shared" si="0"/>
        <v>0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1:28">
      <c r="A43" s="212">
        <v>2001</v>
      </c>
      <c r="B43" s="213" t="s">
        <v>566</v>
      </c>
      <c r="C43" s="242">
        <v>-30686.45</v>
      </c>
      <c r="D43" s="206"/>
      <c r="E43" s="214"/>
      <c r="F43" s="241">
        <v>-21190.25</v>
      </c>
      <c r="G43" s="206"/>
      <c r="H43" s="214"/>
      <c r="I43" s="1">
        <f t="shared" si="0"/>
        <v>-9496.2000000000007</v>
      </c>
      <c r="J43" s="1">
        <f t="shared" si="0"/>
        <v>0</v>
      </c>
      <c r="K43" s="1">
        <f t="shared" si="0"/>
        <v>0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1:28">
      <c r="A44" s="212">
        <v>2002</v>
      </c>
      <c r="B44" s="213" t="s">
        <v>58</v>
      </c>
      <c r="C44" s="242">
        <v>-8679.6200000000008</v>
      </c>
      <c r="D44" s="206"/>
      <c r="E44" s="214"/>
      <c r="F44" s="241">
        <v>6977.74</v>
      </c>
      <c r="G44" s="206"/>
      <c r="H44" s="214"/>
      <c r="I44" s="1">
        <f t="shared" si="0"/>
        <v>-15657.36</v>
      </c>
      <c r="J44" s="1">
        <f t="shared" si="0"/>
        <v>0</v>
      </c>
      <c r="K44" s="1">
        <f t="shared" si="0"/>
        <v>0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</row>
    <row r="45" spans="1:28">
      <c r="A45" s="212">
        <v>2003</v>
      </c>
      <c r="B45" s="213" t="s">
        <v>60</v>
      </c>
      <c r="C45" s="242">
        <v>-44503.46</v>
      </c>
      <c r="D45" s="206"/>
      <c r="E45" s="214"/>
      <c r="F45" s="241">
        <v>6337.43</v>
      </c>
      <c r="G45" s="206"/>
      <c r="H45" s="214"/>
      <c r="I45" s="1">
        <f t="shared" si="0"/>
        <v>-50840.89</v>
      </c>
      <c r="J45" s="1">
        <f t="shared" si="0"/>
        <v>0</v>
      </c>
      <c r="K45" s="1">
        <f t="shared" si="0"/>
        <v>0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</row>
    <row r="46" spans="1:28">
      <c r="A46" s="212">
        <v>2004</v>
      </c>
      <c r="B46" s="213" t="s">
        <v>62</v>
      </c>
      <c r="C46" s="242">
        <v>-49364.33</v>
      </c>
      <c r="D46" s="206"/>
      <c r="E46" s="214"/>
      <c r="F46" s="241">
        <v>-35488.089999999997</v>
      </c>
      <c r="G46" s="206"/>
      <c r="H46" s="214"/>
      <c r="I46" s="1">
        <f t="shared" si="0"/>
        <v>-13876.240000000005</v>
      </c>
      <c r="J46" s="1">
        <f t="shared" si="0"/>
        <v>0</v>
      </c>
      <c r="K46" s="1">
        <f t="shared" si="0"/>
        <v>0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</row>
    <row r="47" spans="1:28">
      <c r="A47" s="212">
        <v>2005</v>
      </c>
      <c r="B47" s="213" t="s">
        <v>64</v>
      </c>
      <c r="C47" s="242">
        <v>15210.78</v>
      </c>
      <c r="D47" s="206"/>
      <c r="E47" s="214"/>
      <c r="F47" s="241">
        <v>15771.21</v>
      </c>
      <c r="G47" s="206"/>
      <c r="H47" s="214"/>
      <c r="I47" s="1">
        <f t="shared" si="0"/>
        <v>-560.42999999999847</v>
      </c>
      <c r="J47" s="1">
        <f t="shared" si="0"/>
        <v>0</v>
      </c>
      <c r="K47" s="1">
        <f t="shared" si="0"/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>
      <c r="A48" s="212">
        <v>2006</v>
      </c>
      <c r="B48" s="213" t="s">
        <v>66</v>
      </c>
      <c r="C48" s="242">
        <v>-96702.54</v>
      </c>
      <c r="D48" s="206"/>
      <c r="E48" s="214"/>
      <c r="F48" s="241">
        <v>-72988.62</v>
      </c>
      <c r="G48" s="206"/>
      <c r="H48" s="214"/>
      <c r="I48" s="1">
        <f t="shared" si="0"/>
        <v>-23713.919999999998</v>
      </c>
      <c r="J48" s="1">
        <f t="shared" si="0"/>
        <v>0</v>
      </c>
      <c r="K48" s="1">
        <f t="shared" si="0"/>
        <v>0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>
      <c r="A49" s="212">
        <v>2007</v>
      </c>
      <c r="B49" s="213" t="s">
        <v>68</v>
      </c>
      <c r="C49" s="242">
        <v>-34033.279999999999</v>
      </c>
      <c r="D49" s="206"/>
      <c r="E49" s="214"/>
      <c r="F49" s="241">
        <v>-25926.19</v>
      </c>
      <c r="G49" s="206"/>
      <c r="H49" s="214"/>
      <c r="I49" s="1">
        <f t="shared" si="0"/>
        <v>-8107.09</v>
      </c>
      <c r="J49" s="1">
        <f t="shared" si="0"/>
        <v>0</v>
      </c>
      <c r="K49" s="1">
        <f t="shared" si="0"/>
        <v>0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>
      <c r="A50" s="212">
        <v>2008</v>
      </c>
      <c r="B50" s="213" t="s">
        <v>70</v>
      </c>
      <c r="C50" s="242">
        <v>19459.95</v>
      </c>
      <c r="D50" s="206"/>
      <c r="E50" s="214"/>
      <c r="F50" s="241">
        <v>18459.95</v>
      </c>
      <c r="G50" s="206"/>
      <c r="H50" s="214"/>
      <c r="I50" s="1">
        <f t="shared" si="0"/>
        <v>1000</v>
      </c>
      <c r="J50" s="1">
        <f t="shared" si="0"/>
        <v>0</v>
      </c>
      <c r="K50" s="1">
        <f t="shared" si="0"/>
        <v>0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</row>
    <row r="51" spans="1:28">
      <c r="A51" s="212">
        <v>2009</v>
      </c>
      <c r="B51" s="213" t="s">
        <v>567</v>
      </c>
      <c r="C51" s="242">
        <v>-104843.94</v>
      </c>
      <c r="D51" s="206"/>
      <c r="E51" s="214"/>
      <c r="F51" s="241">
        <v>-34502.559999999998</v>
      </c>
      <c r="G51" s="206"/>
      <c r="H51" s="214"/>
      <c r="I51" s="1">
        <f t="shared" si="0"/>
        <v>-70341.38</v>
      </c>
      <c r="J51" s="1">
        <f t="shared" si="0"/>
        <v>0</v>
      </c>
      <c r="K51" s="1">
        <f t="shared" si="0"/>
        <v>0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1:28">
      <c r="A52" s="212">
        <v>2010</v>
      </c>
      <c r="B52" s="213" t="s">
        <v>74</v>
      </c>
      <c r="C52" s="242">
        <v>-18110.89</v>
      </c>
      <c r="D52" s="206"/>
      <c r="E52" s="214"/>
      <c r="F52" s="241">
        <v>-1719.48</v>
      </c>
      <c r="G52" s="206"/>
      <c r="H52" s="214"/>
      <c r="I52" s="1">
        <f t="shared" si="0"/>
        <v>-16391.41</v>
      </c>
      <c r="J52" s="1">
        <f t="shared" si="0"/>
        <v>0</v>
      </c>
      <c r="K52" s="1">
        <f t="shared" si="0"/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</row>
    <row r="53" spans="1:28">
      <c r="A53" s="212">
        <v>2011</v>
      </c>
      <c r="B53" s="213" t="s">
        <v>76</v>
      </c>
      <c r="C53" s="242">
        <v>-9737.3799999999992</v>
      </c>
      <c r="D53" s="206"/>
      <c r="E53" s="214"/>
      <c r="F53" s="241">
        <v>-2559.08</v>
      </c>
      <c r="G53" s="206"/>
      <c r="H53" s="214"/>
      <c r="I53" s="1">
        <f t="shared" si="0"/>
        <v>-7178.2999999999993</v>
      </c>
      <c r="J53" s="1">
        <f t="shared" si="0"/>
        <v>0</v>
      </c>
      <c r="K53" s="1">
        <f t="shared" si="0"/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>
      <c r="A54" s="212">
        <v>2012</v>
      </c>
      <c r="B54" s="213" t="s">
        <v>78</v>
      </c>
      <c r="C54" s="242">
        <v>228160.4</v>
      </c>
      <c r="D54" s="206"/>
      <c r="E54" s="214"/>
      <c r="F54" s="241">
        <v>-32966.620000000003</v>
      </c>
      <c r="G54" s="206"/>
      <c r="H54" s="214"/>
      <c r="I54" s="1">
        <f t="shared" si="0"/>
        <v>261127.02</v>
      </c>
      <c r="J54" s="1">
        <f t="shared" si="0"/>
        <v>0</v>
      </c>
      <c r="K54" s="1">
        <f t="shared" si="0"/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>
      <c r="A55" s="212">
        <v>2013</v>
      </c>
      <c r="B55" s="213" t="s">
        <v>80</v>
      </c>
      <c r="C55" s="242">
        <v>21957.63</v>
      </c>
      <c r="D55" s="206"/>
      <c r="E55" s="214"/>
      <c r="F55" s="241">
        <v>62730.07</v>
      </c>
      <c r="G55" s="206"/>
      <c r="H55" s="214"/>
      <c r="I55" s="1">
        <f t="shared" si="0"/>
        <v>-40772.44</v>
      </c>
      <c r="J55" s="1">
        <f t="shared" si="0"/>
        <v>0</v>
      </c>
      <c r="K55" s="1">
        <f t="shared" si="0"/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 spans="1:28">
      <c r="A56" s="212">
        <v>2014</v>
      </c>
      <c r="B56" s="213" t="s">
        <v>82</v>
      </c>
      <c r="C56" s="242">
        <v>-26864.79</v>
      </c>
      <c r="D56" s="206"/>
      <c r="E56" s="214"/>
      <c r="F56" s="241">
        <v>-23185.05</v>
      </c>
      <c r="G56" s="206"/>
      <c r="H56" s="214"/>
      <c r="I56" s="1">
        <f t="shared" si="0"/>
        <v>-3679.7400000000016</v>
      </c>
      <c r="J56" s="1">
        <f t="shared" si="0"/>
        <v>0</v>
      </c>
      <c r="K56" s="1">
        <f t="shared" si="0"/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 spans="1:28">
      <c r="A57" s="212">
        <v>2015</v>
      </c>
      <c r="B57" s="213" t="s">
        <v>84</v>
      </c>
      <c r="C57" s="242">
        <v>757.35</v>
      </c>
      <c r="D57" s="206"/>
      <c r="E57" s="214"/>
      <c r="F57" s="241">
        <v>-3707.8</v>
      </c>
      <c r="G57" s="206"/>
      <c r="H57" s="214"/>
      <c r="I57" s="1">
        <f t="shared" si="0"/>
        <v>4465.1500000000005</v>
      </c>
      <c r="J57" s="1">
        <f t="shared" si="0"/>
        <v>0</v>
      </c>
      <c r="K57" s="1">
        <f t="shared" si="0"/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 spans="1:28">
      <c r="A58" s="212">
        <v>2016</v>
      </c>
      <c r="B58" s="213" t="s">
        <v>86</v>
      </c>
      <c r="C58" s="242">
        <v>-52127.73</v>
      </c>
      <c r="D58" s="206"/>
      <c r="E58" s="214"/>
      <c r="F58" s="241">
        <v>-32774.36</v>
      </c>
      <c r="G58" s="206"/>
      <c r="H58" s="214"/>
      <c r="I58" s="1">
        <f t="shared" si="0"/>
        <v>-19353.370000000003</v>
      </c>
      <c r="J58" s="1">
        <f t="shared" si="0"/>
        <v>0</v>
      </c>
      <c r="K58" s="1">
        <f t="shared" si="0"/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28">
      <c r="A59" s="212">
        <v>2017</v>
      </c>
      <c r="B59" s="213" t="s">
        <v>88</v>
      </c>
      <c r="C59" s="242">
        <v>-2650.29</v>
      </c>
      <c r="D59" s="206"/>
      <c r="E59" s="214"/>
      <c r="F59" s="241">
        <v>19890.02</v>
      </c>
      <c r="G59" s="206"/>
      <c r="H59" s="214"/>
      <c r="I59" s="1">
        <f t="shared" si="0"/>
        <v>-22540.31</v>
      </c>
      <c r="J59" s="1">
        <f t="shared" si="0"/>
        <v>0</v>
      </c>
      <c r="K59" s="1">
        <f t="shared" si="0"/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28">
      <c r="A60" s="212">
        <v>2018</v>
      </c>
      <c r="B60" s="213" t="s">
        <v>90</v>
      </c>
      <c r="C60" s="242">
        <v>-57419.79</v>
      </c>
      <c r="D60" s="206"/>
      <c r="E60" s="214"/>
      <c r="F60" s="241">
        <v>-44622.58</v>
      </c>
      <c r="G60" s="206"/>
      <c r="H60" s="214"/>
      <c r="I60" s="1">
        <f t="shared" si="0"/>
        <v>-12797.21</v>
      </c>
      <c r="J60" s="1">
        <f t="shared" si="0"/>
        <v>0</v>
      </c>
      <c r="K60" s="1">
        <f t="shared" si="0"/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28">
      <c r="A61" s="212">
        <v>2019</v>
      </c>
      <c r="B61" s="213" t="s">
        <v>568</v>
      </c>
      <c r="C61" s="242">
        <v>-24302.16</v>
      </c>
      <c r="D61" s="206"/>
      <c r="E61" s="214"/>
      <c r="F61" s="241">
        <v>14178.92</v>
      </c>
      <c r="G61" s="206"/>
      <c r="H61" s="214"/>
      <c r="I61" s="1">
        <f t="shared" si="0"/>
        <v>-38481.08</v>
      </c>
      <c r="J61" s="1">
        <f t="shared" si="0"/>
        <v>0</v>
      </c>
      <c r="K61" s="1">
        <f t="shared" si="0"/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28">
      <c r="A62" s="212">
        <v>2020</v>
      </c>
      <c r="B62" s="213" t="s">
        <v>94</v>
      </c>
      <c r="C62" s="242">
        <v>-5232.37</v>
      </c>
      <c r="D62" s="206"/>
      <c r="E62" s="214"/>
      <c r="F62" s="241">
        <v>-6929.31</v>
      </c>
      <c r="G62" s="206"/>
      <c r="H62" s="214"/>
      <c r="I62" s="1">
        <f t="shared" si="0"/>
        <v>1696.9400000000005</v>
      </c>
      <c r="J62" s="1">
        <f t="shared" si="0"/>
        <v>0</v>
      </c>
      <c r="K62" s="1">
        <f t="shared" si="0"/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28">
      <c r="A63" s="212">
        <v>2024</v>
      </c>
      <c r="B63" s="213" t="s">
        <v>96</v>
      </c>
      <c r="C63" s="242">
        <v>-74978.47</v>
      </c>
      <c r="D63" s="206"/>
      <c r="E63" s="214"/>
      <c r="F63" s="241">
        <v>-31494.82</v>
      </c>
      <c r="G63" s="206"/>
      <c r="H63" s="214"/>
      <c r="I63" s="1">
        <f t="shared" si="0"/>
        <v>-43483.65</v>
      </c>
      <c r="J63" s="1">
        <f t="shared" si="0"/>
        <v>0</v>
      </c>
      <c r="K63" s="1">
        <f t="shared" si="0"/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 spans="1:28">
      <c r="A64" s="212">
        <v>2025</v>
      </c>
      <c r="B64" s="213" t="s">
        <v>98</v>
      </c>
      <c r="C64" s="242">
        <v>-1021.61</v>
      </c>
      <c r="D64" s="206"/>
      <c r="E64" s="214"/>
      <c r="F64" s="241">
        <v>-1021.61</v>
      </c>
      <c r="G64" s="206"/>
      <c r="H64" s="214"/>
      <c r="I64" s="1">
        <f t="shared" si="0"/>
        <v>0</v>
      </c>
      <c r="J64" s="1">
        <f t="shared" si="0"/>
        <v>0</v>
      </c>
      <c r="K64" s="1">
        <f t="shared" si="0"/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28">
      <c r="A65" s="212">
        <v>2026</v>
      </c>
      <c r="B65" s="213" t="s">
        <v>100</v>
      </c>
      <c r="C65" s="242">
        <v>-13919.65</v>
      </c>
      <c r="D65" s="206"/>
      <c r="E65" s="214"/>
      <c r="F65" s="241">
        <v>-13919.65</v>
      </c>
      <c r="G65" s="206"/>
      <c r="H65" s="214"/>
      <c r="I65" s="1">
        <f t="shared" si="0"/>
        <v>0</v>
      </c>
      <c r="J65" s="1">
        <f t="shared" si="0"/>
        <v>0</v>
      </c>
      <c r="K65" s="1">
        <f t="shared" si="0"/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28">
      <c r="A66" s="212">
        <v>2027</v>
      </c>
      <c r="B66" s="213" t="s">
        <v>102</v>
      </c>
      <c r="C66" s="242">
        <v>-42033.88</v>
      </c>
      <c r="D66" s="206"/>
      <c r="E66" s="214"/>
      <c r="F66" s="241">
        <v>-29650.720000000001</v>
      </c>
      <c r="G66" s="206"/>
      <c r="H66" s="214"/>
      <c r="I66" s="1">
        <f t="shared" si="0"/>
        <v>-12383.159999999996</v>
      </c>
      <c r="J66" s="1">
        <f t="shared" si="0"/>
        <v>0</v>
      </c>
      <c r="K66" s="1">
        <f t="shared" si="0"/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28">
      <c r="A67" s="212">
        <v>2028</v>
      </c>
      <c r="B67" s="213" t="s">
        <v>569</v>
      </c>
      <c r="C67" s="242">
        <v>-13136.73</v>
      </c>
      <c r="D67" s="206"/>
      <c r="E67" s="214"/>
      <c r="F67" s="241">
        <v>-26682.9</v>
      </c>
      <c r="G67" s="206"/>
      <c r="H67" s="214"/>
      <c r="I67" s="1">
        <f t="shared" si="0"/>
        <v>13546.170000000002</v>
      </c>
      <c r="J67" s="1">
        <f t="shared" si="0"/>
        <v>0</v>
      </c>
      <c r="K67" s="1">
        <f t="shared" si="0"/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28">
      <c r="A68" s="212">
        <v>2029</v>
      </c>
      <c r="B68" s="213" t="s">
        <v>106</v>
      </c>
      <c r="C68" s="242">
        <v>-67233.37</v>
      </c>
      <c r="D68" s="206"/>
      <c r="E68" s="214"/>
      <c r="F68" s="241">
        <v>-26508.22</v>
      </c>
      <c r="G68" s="206"/>
      <c r="H68" s="214"/>
      <c r="I68" s="1">
        <f t="shared" si="0"/>
        <v>-40725.149999999994</v>
      </c>
      <c r="J68" s="1">
        <f t="shared" si="0"/>
        <v>0</v>
      </c>
      <c r="K68" s="1">
        <f t="shared" si="0"/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28">
      <c r="A69" s="212">
        <v>2030</v>
      </c>
      <c r="B69" s="213" t="s">
        <v>108</v>
      </c>
      <c r="C69" s="242">
        <v>-52823.16</v>
      </c>
      <c r="D69" s="206"/>
      <c r="E69" s="214"/>
      <c r="F69" s="241">
        <v>-47345.16</v>
      </c>
      <c r="G69" s="206"/>
      <c r="H69" s="214"/>
      <c r="I69" s="1">
        <f t="shared" si="0"/>
        <v>-5478</v>
      </c>
      <c r="J69" s="1">
        <f t="shared" si="0"/>
        <v>0</v>
      </c>
      <c r="K69" s="1">
        <f t="shared" si="0"/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28">
      <c r="A70" s="212">
        <v>2031</v>
      </c>
      <c r="B70" s="213" t="s">
        <v>570</v>
      </c>
      <c r="C70" s="242">
        <v>-146117.9</v>
      </c>
      <c r="D70" s="206"/>
      <c r="E70" s="214"/>
      <c r="F70" s="241">
        <v>-188530.28</v>
      </c>
      <c r="G70" s="206"/>
      <c r="H70" s="214"/>
      <c r="I70" s="1">
        <f t="shared" ref="I70:K109" si="1">C70-F70</f>
        <v>42412.380000000005</v>
      </c>
      <c r="J70" s="1">
        <f t="shared" si="1"/>
        <v>0</v>
      </c>
      <c r="K70" s="1">
        <f t="shared" si="1"/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28">
      <c r="A71" s="212">
        <v>2032</v>
      </c>
      <c r="B71" s="213" t="s">
        <v>112</v>
      </c>
      <c r="C71" s="242">
        <v>-6563.34</v>
      </c>
      <c r="D71" s="206"/>
      <c r="E71" s="214"/>
      <c r="F71" s="241">
        <v>-3223.75</v>
      </c>
      <c r="G71" s="206"/>
      <c r="H71" s="214"/>
      <c r="I71" s="1">
        <f t="shared" si="1"/>
        <v>-3339.59</v>
      </c>
      <c r="J71" s="1">
        <f t="shared" si="1"/>
        <v>0</v>
      </c>
      <c r="K71" s="1">
        <f t="shared" si="1"/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28">
      <c r="A72" s="212">
        <v>2033</v>
      </c>
      <c r="B72" s="213" t="s">
        <v>899</v>
      </c>
      <c r="C72" s="242">
        <v>-19351.310000000001</v>
      </c>
      <c r="D72" s="206"/>
      <c r="E72" s="214"/>
      <c r="F72" s="241">
        <v>0</v>
      </c>
      <c r="G72" s="206"/>
      <c r="H72" s="214"/>
      <c r="I72" s="1">
        <f t="shared" si="1"/>
        <v>-19351.310000000001</v>
      </c>
      <c r="J72" s="1">
        <f t="shared" si="1"/>
        <v>0</v>
      </c>
      <c r="K72" s="1">
        <f t="shared" si="1"/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28">
      <c r="A73" s="212">
        <v>2034</v>
      </c>
      <c r="B73" s="213" t="s">
        <v>114</v>
      </c>
      <c r="C73" s="242">
        <v>-71967.429999999993</v>
      </c>
      <c r="D73" s="206"/>
      <c r="E73" s="214"/>
      <c r="F73" s="241">
        <v>-27441.02</v>
      </c>
      <c r="G73" s="206"/>
      <c r="H73" s="214"/>
      <c r="I73" s="1">
        <f t="shared" si="1"/>
        <v>-44526.409999999989</v>
      </c>
      <c r="J73" s="1">
        <f t="shared" si="1"/>
        <v>0</v>
      </c>
      <c r="K73" s="1">
        <f t="shared" si="1"/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>
      <c r="A74" s="212">
        <v>2035</v>
      </c>
      <c r="B74" s="213" t="s">
        <v>116</v>
      </c>
      <c r="C74" s="242">
        <v>-105874.04</v>
      </c>
      <c r="D74" s="206"/>
      <c r="E74" s="214"/>
      <c r="F74" s="241">
        <v>-118666.48</v>
      </c>
      <c r="G74" s="206"/>
      <c r="H74" s="214"/>
      <c r="I74" s="1">
        <f t="shared" si="1"/>
        <v>12792.440000000002</v>
      </c>
      <c r="J74" s="1">
        <f t="shared" si="1"/>
        <v>0</v>
      </c>
      <c r="K74" s="1">
        <f t="shared" si="1"/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>
      <c r="A75" s="212">
        <v>2036</v>
      </c>
      <c r="B75" s="213" t="s">
        <v>571</v>
      </c>
      <c r="C75" s="242">
        <v>-7188</v>
      </c>
      <c r="D75" s="206"/>
      <c r="E75" s="214"/>
      <c r="F75" s="241">
        <v>-7188</v>
      </c>
      <c r="G75" s="206"/>
      <c r="H75" s="214"/>
      <c r="I75" s="1">
        <f t="shared" si="1"/>
        <v>0</v>
      </c>
      <c r="J75" s="1">
        <f t="shared" si="1"/>
        <v>0</v>
      </c>
      <c r="K75" s="1">
        <f t="shared" si="1"/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>
      <c r="A76" s="212">
        <v>2037</v>
      </c>
      <c r="B76" s="213" t="s">
        <v>572</v>
      </c>
      <c r="C76" s="242">
        <v>-452811.5</v>
      </c>
      <c r="D76" s="206"/>
      <c r="E76" s="214"/>
      <c r="F76" s="241">
        <v>-187807.53</v>
      </c>
      <c r="G76" s="206"/>
      <c r="H76" s="214"/>
      <c r="I76" s="1">
        <f t="shared" si="1"/>
        <v>-265003.96999999997</v>
      </c>
      <c r="J76" s="1">
        <f t="shared" si="1"/>
        <v>0</v>
      </c>
      <c r="K76" s="1">
        <f t="shared" si="1"/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>
      <c r="A77" s="212">
        <v>2038</v>
      </c>
      <c r="B77" s="213" t="s">
        <v>573</v>
      </c>
      <c r="C77" s="242">
        <v>-16405.759999999998</v>
      </c>
      <c r="D77" s="206"/>
      <c r="E77" s="214"/>
      <c r="F77" s="241">
        <v>-15769.25</v>
      </c>
      <c r="G77" s="206"/>
      <c r="H77" s="214"/>
      <c r="I77" s="1">
        <f t="shared" si="1"/>
        <v>-636.5099999999984</v>
      </c>
      <c r="J77" s="1">
        <f t="shared" si="1"/>
        <v>0</v>
      </c>
      <c r="K77" s="1">
        <f t="shared" si="1"/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28" ht="14.4">
      <c r="A78" s="215">
        <v>2039</v>
      </c>
      <c r="B78" s="216" t="s">
        <v>764</v>
      </c>
      <c r="C78" s="242">
        <v>-59488.99</v>
      </c>
      <c r="D78" s="206"/>
      <c r="E78" s="214"/>
      <c r="F78" s="241">
        <v>-31419.46</v>
      </c>
      <c r="G78" s="206"/>
      <c r="H78" s="214"/>
      <c r="I78" s="1">
        <f t="shared" si="1"/>
        <v>-28069.53</v>
      </c>
      <c r="J78" s="1">
        <f t="shared" si="1"/>
        <v>0</v>
      </c>
      <c r="K78" s="1">
        <f t="shared" si="1"/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28">
      <c r="A79" s="212">
        <v>2040</v>
      </c>
      <c r="B79" s="213" t="s">
        <v>528</v>
      </c>
      <c r="C79" s="344">
        <v>-541013.30000000005</v>
      </c>
      <c r="D79" s="206"/>
      <c r="E79" s="214"/>
      <c r="F79" s="241">
        <v>-541013.30000000005</v>
      </c>
      <c r="G79" s="206"/>
      <c r="H79" s="214"/>
      <c r="I79" s="1">
        <f t="shared" si="1"/>
        <v>0</v>
      </c>
      <c r="J79" s="1">
        <f t="shared" si="1"/>
        <v>0</v>
      </c>
      <c r="K79" s="1">
        <f t="shared" si="1"/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>
      <c r="A80" s="212">
        <v>2041</v>
      </c>
      <c r="B80" s="213" t="s">
        <v>126</v>
      </c>
      <c r="C80" s="344">
        <v>-96296.55</v>
      </c>
      <c r="D80" s="206">
        <f>SUM(C79:C80)</f>
        <v>-637309.85000000009</v>
      </c>
      <c r="E80" s="214"/>
      <c r="F80" s="241">
        <v>-96296.55</v>
      </c>
      <c r="G80" s="206">
        <f>SUM(F79:F80)</f>
        <v>-637309.85000000009</v>
      </c>
      <c r="H80" s="217"/>
      <c r="I80" s="1">
        <f t="shared" si="1"/>
        <v>0</v>
      </c>
      <c r="J80" s="1">
        <f t="shared" si="1"/>
        <v>0</v>
      </c>
      <c r="K80" s="1">
        <f t="shared" si="1"/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>
      <c r="A81" s="212">
        <v>2042</v>
      </c>
      <c r="B81" s="213" t="s">
        <v>893</v>
      </c>
      <c r="C81" s="242">
        <v>-27025.8</v>
      </c>
      <c r="D81" s="206"/>
      <c r="E81" s="214"/>
      <c r="F81" s="241">
        <v>0</v>
      </c>
      <c r="G81" s="206"/>
      <c r="H81" s="217"/>
      <c r="I81" s="1">
        <f t="shared" si="1"/>
        <v>-27025.8</v>
      </c>
      <c r="J81" s="1">
        <f t="shared" si="1"/>
        <v>0</v>
      </c>
      <c r="K81" s="1">
        <f t="shared" si="1"/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>
      <c r="A82" s="212">
        <v>2045</v>
      </c>
      <c r="B82" s="213" t="s">
        <v>128</v>
      </c>
      <c r="C82" s="242">
        <v>35485.9</v>
      </c>
      <c r="D82" s="206"/>
      <c r="E82" s="214"/>
      <c r="F82" s="241">
        <v>35485.9</v>
      </c>
      <c r="G82" s="206"/>
      <c r="H82" s="214"/>
      <c r="I82" s="1">
        <f t="shared" si="1"/>
        <v>0</v>
      </c>
      <c r="J82" s="1">
        <f t="shared" si="1"/>
        <v>0</v>
      </c>
      <c r="K82" s="1">
        <f t="shared" si="1"/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14.4">
      <c r="A83" s="215">
        <v>2046</v>
      </c>
      <c r="B83" s="216" t="s">
        <v>765</v>
      </c>
      <c r="C83" s="242">
        <v>94204.99</v>
      </c>
      <c r="D83" s="206"/>
      <c r="E83" s="214"/>
      <c r="F83" s="241">
        <v>94204.98</v>
      </c>
      <c r="G83" s="206"/>
      <c r="H83" s="214"/>
      <c r="I83" s="1">
        <f t="shared" si="1"/>
        <v>1.0000000009313226E-2</v>
      </c>
      <c r="J83" s="1">
        <f t="shared" si="1"/>
        <v>0</v>
      </c>
      <c r="K83" s="1">
        <f t="shared" si="1"/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>
      <c r="A84" s="212">
        <v>2050</v>
      </c>
      <c r="B84" s="213" t="s">
        <v>694</v>
      </c>
      <c r="C84" s="242">
        <v>115387.55</v>
      </c>
      <c r="D84" s="206"/>
      <c r="E84" s="214"/>
      <c r="F84" s="241">
        <v>205398.28</v>
      </c>
      <c r="G84" s="206"/>
      <c r="H84" s="214"/>
      <c r="I84" s="1">
        <f t="shared" si="1"/>
        <v>-90010.73</v>
      </c>
      <c r="J84" s="1">
        <f t="shared" si="1"/>
        <v>0</v>
      </c>
      <c r="K84" s="1">
        <f t="shared" si="1"/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>
      <c r="A85" s="212">
        <v>2055</v>
      </c>
      <c r="B85" s="213" t="s">
        <v>574</v>
      </c>
      <c r="C85" s="242">
        <v>224492.75</v>
      </c>
      <c r="D85" s="206"/>
      <c r="E85" s="214"/>
      <c r="F85" s="241">
        <v>429477.08</v>
      </c>
      <c r="G85" s="206"/>
      <c r="H85" s="214"/>
      <c r="I85" s="1">
        <f t="shared" si="1"/>
        <v>-204984.33000000002</v>
      </c>
      <c r="J85" s="1">
        <f t="shared" si="1"/>
        <v>0</v>
      </c>
      <c r="K85" s="1">
        <f t="shared" si="1"/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>
      <c r="A86" s="212">
        <v>2070</v>
      </c>
      <c r="B86" s="213" t="s">
        <v>134</v>
      </c>
      <c r="C86" s="242">
        <v>-940423.02</v>
      </c>
      <c r="D86" s="206"/>
      <c r="E86" s="214"/>
      <c r="F86" s="241">
        <v>-854879.78</v>
      </c>
      <c r="G86" s="206"/>
      <c r="H86" s="214"/>
      <c r="I86" s="1">
        <f t="shared" si="1"/>
        <v>-85543.239999999991</v>
      </c>
      <c r="J86" s="1">
        <f t="shared" si="1"/>
        <v>0</v>
      </c>
      <c r="K86" s="1">
        <f t="shared" si="1"/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>
      <c r="A87" s="212">
        <v>2080</v>
      </c>
      <c r="B87" s="213" t="s">
        <v>136</v>
      </c>
      <c r="C87" s="242">
        <v>-729717.92</v>
      </c>
      <c r="D87" s="206"/>
      <c r="E87" s="214"/>
      <c r="F87" s="241">
        <v>-460950.11</v>
      </c>
      <c r="G87" s="229"/>
      <c r="H87" s="214"/>
      <c r="I87" s="1">
        <f t="shared" si="1"/>
        <v>-268767.81000000006</v>
      </c>
      <c r="J87" s="1">
        <f t="shared" si="1"/>
        <v>0</v>
      </c>
      <c r="K87" s="1">
        <f t="shared" si="1"/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>
      <c r="A88" s="212">
        <v>2090</v>
      </c>
      <c r="B88" s="213" t="s">
        <v>695</v>
      </c>
      <c r="C88" s="242">
        <v>106985.63</v>
      </c>
      <c r="D88" s="261"/>
      <c r="E88" s="217"/>
      <c r="F88" s="241">
        <v>106985.63</v>
      </c>
      <c r="G88" s="239"/>
      <c r="H88" s="217"/>
      <c r="I88" s="1">
        <f t="shared" si="1"/>
        <v>0</v>
      </c>
      <c r="J88" s="1">
        <f t="shared" si="1"/>
        <v>0</v>
      </c>
      <c r="K88" s="1">
        <f t="shared" si="1"/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>
      <c r="A89" s="212"/>
      <c r="B89" s="213" t="s">
        <v>575</v>
      </c>
      <c r="C89" s="242">
        <f>'Årsregnskap 2019'!C29*-1</f>
        <v>-1242461.4699999988</v>
      </c>
      <c r="D89" s="206">
        <f>SUM(C43:C78)+C81+C82+C83+C84+C85+C86+C87+C88+C89</f>
        <v>-3793699.439999999</v>
      </c>
      <c r="E89" s="214">
        <f>SUM(D80:D89)</f>
        <v>-4431009.2899999991</v>
      </c>
      <c r="F89" s="241">
        <f>'Årsregnskap 2019'!D29*-1</f>
        <v>-1156076.6600000006</v>
      </c>
      <c r="G89" s="206">
        <f>SUM(F43:F78)+F81+F82+F83+F84+F85+F86+F87+F88+F89</f>
        <v>-2551238.1800000006</v>
      </c>
      <c r="H89" s="214">
        <f>G80+G89</f>
        <v>-3188548.0300000007</v>
      </c>
      <c r="I89" s="1">
        <f t="shared" si="1"/>
        <v>-86384.809999998193</v>
      </c>
      <c r="J89" s="1">
        <f t="shared" si="1"/>
        <v>-1242461.2599999984</v>
      </c>
      <c r="K89" s="1">
        <f t="shared" si="1"/>
        <v>-1242461.2599999984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>
      <c r="A90" s="212">
        <v>2192</v>
      </c>
      <c r="B90" s="213" t="s">
        <v>138</v>
      </c>
      <c r="C90" s="246">
        <v>0</v>
      </c>
      <c r="D90" s="206"/>
      <c r="E90" s="214"/>
      <c r="F90" s="246">
        <v>0</v>
      </c>
      <c r="G90" s="206"/>
      <c r="H90" s="214"/>
      <c r="I90" s="1">
        <f t="shared" si="1"/>
        <v>0</v>
      </c>
      <c r="J90" s="1">
        <f t="shared" si="1"/>
        <v>0</v>
      </c>
      <c r="K90" s="1">
        <f t="shared" si="1"/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>
      <c r="A91" s="212">
        <v>2240</v>
      </c>
      <c r="B91" s="213" t="s">
        <v>140</v>
      </c>
      <c r="C91" s="243">
        <v>-1000000</v>
      </c>
      <c r="D91" s="206"/>
      <c r="E91" s="214"/>
      <c r="F91" s="243">
        <v>-1000000</v>
      </c>
      <c r="G91" s="206"/>
      <c r="H91" s="214"/>
      <c r="I91" s="1">
        <f t="shared" si="1"/>
        <v>0</v>
      </c>
      <c r="J91" s="1">
        <f t="shared" si="1"/>
        <v>0</v>
      </c>
      <c r="K91" s="1">
        <f t="shared" si="1"/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>
      <c r="A92" s="212">
        <v>2241</v>
      </c>
      <c r="B92" s="213" t="s">
        <v>142</v>
      </c>
      <c r="C92" s="243">
        <v>-277790</v>
      </c>
      <c r="D92" s="227">
        <f>SUM(C91:C92)+C95</f>
        <v>-1312790</v>
      </c>
      <c r="E92" s="214"/>
      <c r="F92" s="243">
        <v>-277790</v>
      </c>
      <c r="G92" s="227">
        <f>SUM(F91:F92)+F95</f>
        <v>-1312790</v>
      </c>
      <c r="H92" s="214"/>
      <c r="I92" s="1">
        <f t="shared" si="1"/>
        <v>0</v>
      </c>
      <c r="J92" s="1">
        <f t="shared" si="1"/>
        <v>0</v>
      </c>
      <c r="K92" s="1">
        <f t="shared" si="1"/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>
      <c r="A93" s="212">
        <v>2400</v>
      </c>
      <c r="B93" s="213" t="s">
        <v>578</v>
      </c>
      <c r="C93" s="241">
        <v>-760065.71</v>
      </c>
      <c r="D93" s="206">
        <f>C93</f>
        <v>-760065.71</v>
      </c>
      <c r="E93" s="214"/>
      <c r="F93" s="241">
        <v>-449161.06</v>
      </c>
      <c r="G93" s="206">
        <f>F93</f>
        <v>-449161.06</v>
      </c>
      <c r="H93" s="214"/>
      <c r="I93" s="1">
        <f t="shared" si="1"/>
        <v>-310904.64999999997</v>
      </c>
      <c r="J93" s="1">
        <f t="shared" si="1"/>
        <v>-310904.64999999997</v>
      </c>
      <c r="K93" s="1">
        <f t="shared" si="1"/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>
      <c r="A94" s="212">
        <v>2442</v>
      </c>
      <c r="B94" s="213" t="s">
        <v>576</v>
      </c>
      <c r="C94" s="244">
        <v>-10000</v>
      </c>
      <c r="D94" s="206"/>
      <c r="E94" s="214"/>
      <c r="F94" s="244">
        <v>-10000</v>
      </c>
      <c r="G94" s="206"/>
      <c r="H94" s="214"/>
      <c r="I94" s="1">
        <f t="shared" si="1"/>
        <v>0</v>
      </c>
      <c r="J94" s="1">
        <f t="shared" si="1"/>
        <v>0</v>
      </c>
      <c r="K94" s="1">
        <f t="shared" si="1"/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>
      <c r="A95" s="212">
        <v>2443</v>
      </c>
      <c r="B95" s="213" t="s">
        <v>150</v>
      </c>
      <c r="C95" s="243">
        <v>-35000</v>
      </c>
      <c r="D95" s="206"/>
      <c r="E95" s="214"/>
      <c r="F95" s="243">
        <v>-35000</v>
      </c>
      <c r="G95" s="206"/>
      <c r="H95" s="214"/>
      <c r="I95" s="1">
        <f t="shared" si="1"/>
        <v>0</v>
      </c>
      <c r="J95" s="1">
        <f t="shared" si="1"/>
        <v>0</v>
      </c>
      <c r="K95" s="1">
        <f t="shared" si="1"/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>
      <c r="A96" s="212">
        <v>2444</v>
      </c>
      <c r="B96" s="213" t="s">
        <v>577</v>
      </c>
      <c r="C96" s="244">
        <v>-10000</v>
      </c>
      <c r="D96" s="228">
        <f>C94+C96</f>
        <v>-20000</v>
      </c>
      <c r="E96" s="214"/>
      <c r="F96" s="244">
        <v>-10000</v>
      </c>
      <c r="G96" s="228">
        <f>F94+F96</f>
        <v>-20000</v>
      </c>
      <c r="H96" s="214"/>
      <c r="I96" s="1">
        <f t="shared" si="1"/>
        <v>0</v>
      </c>
      <c r="J96" s="1">
        <f t="shared" si="1"/>
        <v>0</v>
      </c>
      <c r="K96" s="1">
        <f t="shared" si="1"/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>
      <c r="A97" s="212">
        <v>2600</v>
      </c>
      <c r="B97" s="213" t="s">
        <v>579</v>
      </c>
      <c r="C97" s="242">
        <v>-9434</v>
      </c>
      <c r="D97" s="206"/>
      <c r="E97" s="214"/>
      <c r="F97" s="242">
        <v>-20842</v>
      </c>
      <c r="G97" s="206"/>
      <c r="H97" s="214"/>
      <c r="I97" s="1">
        <f t="shared" si="1"/>
        <v>11408</v>
      </c>
      <c r="J97" s="1">
        <f t="shared" si="1"/>
        <v>0</v>
      </c>
      <c r="K97" s="1">
        <f t="shared" si="1"/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>
      <c r="A98" s="212">
        <v>2770</v>
      </c>
      <c r="B98" s="213" t="s">
        <v>160</v>
      </c>
      <c r="C98" s="242">
        <v>-20969.88</v>
      </c>
      <c r="D98" s="225">
        <f>SUM(C97:C98)</f>
        <v>-30403.88</v>
      </c>
      <c r="E98" s="214"/>
      <c r="F98" s="242">
        <v>-44353.93</v>
      </c>
      <c r="G98" s="225">
        <f>SUM(F97:F98)</f>
        <v>-65195.93</v>
      </c>
      <c r="H98" s="214"/>
      <c r="I98" s="1">
        <f t="shared" si="1"/>
        <v>23384.05</v>
      </c>
      <c r="J98" s="1">
        <f t="shared" si="1"/>
        <v>34792.050000000003</v>
      </c>
      <c r="K98" s="1">
        <f t="shared" si="1"/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>
      <c r="A99" s="212">
        <v>2780</v>
      </c>
      <c r="B99" s="213" t="s">
        <v>582</v>
      </c>
      <c r="C99" s="246">
        <v>-6300.53</v>
      </c>
      <c r="D99" s="206"/>
      <c r="E99" s="214"/>
      <c r="F99" s="246">
        <v>-6641.68</v>
      </c>
      <c r="G99" s="206"/>
      <c r="H99" s="214"/>
      <c r="I99" s="1">
        <f t="shared" si="1"/>
        <v>341.15000000000055</v>
      </c>
      <c r="J99" s="1">
        <f t="shared" si="1"/>
        <v>0</v>
      </c>
      <c r="K99" s="1">
        <f t="shared" si="1"/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>
      <c r="A100" s="212">
        <v>2900</v>
      </c>
      <c r="B100" s="213" t="s">
        <v>164</v>
      </c>
      <c r="C100" s="246">
        <v>0</v>
      </c>
      <c r="D100" s="206"/>
      <c r="E100" s="214"/>
      <c r="F100" s="246">
        <v>0</v>
      </c>
      <c r="G100" s="206"/>
      <c r="H100" s="214"/>
      <c r="I100" s="1">
        <f t="shared" si="1"/>
        <v>0</v>
      </c>
      <c r="J100" s="1">
        <f t="shared" si="1"/>
        <v>0</v>
      </c>
      <c r="K100" s="1">
        <f t="shared" si="1"/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>
      <c r="A101" s="212">
        <v>2930</v>
      </c>
      <c r="B101" s="213" t="s">
        <v>583</v>
      </c>
      <c r="C101" s="246">
        <v>-2200</v>
      </c>
      <c r="D101" s="206"/>
      <c r="E101" s="214"/>
      <c r="F101" s="246">
        <v>0</v>
      </c>
      <c r="G101" s="206"/>
      <c r="H101" s="214"/>
      <c r="I101" s="1">
        <f t="shared" si="1"/>
        <v>-2200</v>
      </c>
      <c r="J101" s="1">
        <f t="shared" si="1"/>
        <v>0</v>
      </c>
      <c r="K101" s="1">
        <f t="shared" si="1"/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>
      <c r="A102" s="212">
        <v>2940</v>
      </c>
      <c r="B102" s="213" t="s">
        <v>168</v>
      </c>
      <c r="C102" s="246">
        <v>-44684.59</v>
      </c>
      <c r="D102" s="206"/>
      <c r="E102" s="214"/>
      <c r="F102" s="246">
        <v>-47104.09</v>
      </c>
      <c r="G102" s="206"/>
      <c r="H102" s="214"/>
      <c r="I102" s="1">
        <f t="shared" si="1"/>
        <v>2419.5</v>
      </c>
      <c r="J102" s="1">
        <f t="shared" si="1"/>
        <v>0</v>
      </c>
      <c r="K102" s="1">
        <f t="shared" si="1"/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>
      <c r="A103" s="212">
        <v>2960</v>
      </c>
      <c r="B103" s="213" t="s">
        <v>584</v>
      </c>
      <c r="C103" s="246">
        <v>0</v>
      </c>
      <c r="D103" s="206"/>
      <c r="E103" s="214"/>
      <c r="F103" s="246">
        <v>-736.95</v>
      </c>
      <c r="G103" s="226"/>
      <c r="H103" s="217"/>
      <c r="I103" s="1">
        <f t="shared" si="1"/>
        <v>736.95</v>
      </c>
      <c r="J103" s="1">
        <f t="shared" si="1"/>
        <v>0</v>
      </c>
      <c r="K103" s="1">
        <f t="shared" si="1"/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14.4">
      <c r="A104" s="215">
        <v>2990</v>
      </c>
      <c r="B104" s="216" t="s">
        <v>146</v>
      </c>
      <c r="C104" s="257">
        <v>0</v>
      </c>
      <c r="D104" s="258">
        <f>SUM(C99:C104)+C90</f>
        <v>-53185.119999999995</v>
      </c>
      <c r="E104" s="259">
        <f>SUM(D92:D104)</f>
        <v>-2176444.71</v>
      </c>
      <c r="F104" s="257">
        <v>0</v>
      </c>
      <c r="G104" s="258">
        <f>SUM(F99:F104)+F90</f>
        <v>-54482.719999999994</v>
      </c>
      <c r="H104" s="259">
        <f>SUM(G92:G104)</f>
        <v>-1901629.71</v>
      </c>
      <c r="I104" s="1">
        <f t="shared" si="1"/>
        <v>0</v>
      </c>
      <c r="J104" s="1">
        <f t="shared" si="1"/>
        <v>1297.5999999999985</v>
      </c>
      <c r="K104" s="1">
        <f t="shared" si="1"/>
        <v>-274815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>
      <c r="A105" s="212"/>
      <c r="B105" s="218" t="s">
        <v>820</v>
      </c>
      <c r="C105" s="241">
        <f>SUM(C43:C104)</f>
        <v>-6607453.9999999991</v>
      </c>
      <c r="D105" s="206"/>
      <c r="E105" s="214">
        <f>E89+E104</f>
        <v>-6607453.9999999991</v>
      </c>
      <c r="F105" s="241">
        <f>SUM(F43:F104)</f>
        <v>-5090177.74</v>
      </c>
      <c r="G105" s="206"/>
      <c r="H105" s="214">
        <f>H89+H104</f>
        <v>-5090177.74</v>
      </c>
      <c r="I105" s="1">
        <f t="shared" si="1"/>
        <v>-1517276.2599999988</v>
      </c>
      <c r="J105" s="1">
        <f t="shared" si="1"/>
        <v>0</v>
      </c>
      <c r="K105" s="1">
        <f t="shared" si="1"/>
        <v>-1517276.2599999988</v>
      </c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13.8" thickBot="1">
      <c r="A106" s="212"/>
      <c r="B106" s="213"/>
      <c r="C106" s="241" t="s">
        <v>374</v>
      </c>
      <c r="D106" s="206"/>
      <c r="E106" s="214"/>
      <c r="F106" s="241"/>
      <c r="G106" s="206"/>
      <c r="H106" s="214"/>
      <c r="I106" s="1"/>
      <c r="J106" s="1">
        <f t="shared" si="1"/>
        <v>0</v>
      </c>
      <c r="K106" s="1">
        <f t="shared" si="1"/>
        <v>0</v>
      </c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14.4">
      <c r="A107" s="215">
        <v>3100</v>
      </c>
      <c r="B107" s="216" t="s">
        <v>766</v>
      </c>
      <c r="C107" s="280">
        <v>-615</v>
      </c>
      <c r="D107" s="281"/>
      <c r="E107" s="282"/>
      <c r="F107" s="280">
        <v>0</v>
      </c>
      <c r="G107" s="281"/>
      <c r="H107" s="282"/>
      <c r="I107" s="1">
        <f t="shared" si="1"/>
        <v>-615</v>
      </c>
      <c r="J107" s="1">
        <f t="shared" si="1"/>
        <v>0</v>
      </c>
      <c r="K107" s="1">
        <f t="shared" si="1"/>
        <v>0</v>
      </c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>
      <c r="A108" s="212">
        <v>3110</v>
      </c>
      <c r="B108" s="213" t="s">
        <v>176</v>
      </c>
      <c r="C108" s="247">
        <v>-319709</v>
      </c>
      <c r="D108" s="206"/>
      <c r="E108" s="214"/>
      <c r="F108" s="247">
        <v>-670934.59</v>
      </c>
      <c r="G108" s="206"/>
      <c r="H108" s="214"/>
      <c r="I108" s="1">
        <f t="shared" si="1"/>
        <v>351225.58999999997</v>
      </c>
      <c r="J108" s="1">
        <f t="shared" si="1"/>
        <v>0</v>
      </c>
      <c r="K108" s="1">
        <f t="shared" si="1"/>
        <v>0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>
      <c r="A109" s="212">
        <v>3120</v>
      </c>
      <c r="B109" s="213" t="s">
        <v>178</v>
      </c>
      <c r="C109" s="247">
        <v>-5000</v>
      </c>
      <c r="D109" s="206"/>
      <c r="E109" s="214"/>
      <c r="F109" s="247">
        <v>-64300</v>
      </c>
      <c r="G109" s="206"/>
      <c r="H109" s="214"/>
      <c r="I109" s="1">
        <f>C109-F109</f>
        <v>59300</v>
      </c>
      <c r="J109" s="1">
        <f t="shared" si="1"/>
        <v>0</v>
      </c>
      <c r="K109" s="1">
        <f t="shared" si="1"/>
        <v>0</v>
      </c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14.4">
      <c r="A110" s="215">
        <v>3160</v>
      </c>
      <c r="B110" s="216" t="s">
        <v>767</v>
      </c>
      <c r="C110" s="247">
        <v>0</v>
      </c>
      <c r="D110" s="206"/>
      <c r="E110" s="214"/>
      <c r="F110" s="247">
        <v>0</v>
      </c>
      <c r="G110" s="206"/>
      <c r="H110" s="214"/>
      <c r="I110" s="1">
        <f t="shared" ref="I110:K129" si="2">C110-F110</f>
        <v>0</v>
      </c>
      <c r="J110" s="1">
        <f t="shared" si="2"/>
        <v>0</v>
      </c>
      <c r="K110" s="1">
        <f t="shared" si="2"/>
        <v>0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>
      <c r="A111" s="212">
        <v>3400</v>
      </c>
      <c r="B111" s="213" t="s">
        <v>182</v>
      </c>
      <c r="C111" s="243">
        <v>-975340</v>
      </c>
      <c r="D111" s="227">
        <f>C111</f>
        <v>-975340</v>
      </c>
      <c r="E111" s="214"/>
      <c r="F111" s="243">
        <v>-1911750</v>
      </c>
      <c r="G111" s="227">
        <f>F111</f>
        <v>-1911750</v>
      </c>
      <c r="H111" s="214"/>
      <c r="I111" s="1">
        <f t="shared" si="2"/>
        <v>936410</v>
      </c>
      <c r="J111" s="1">
        <f t="shared" si="2"/>
        <v>936410</v>
      </c>
      <c r="K111" s="1">
        <f t="shared" si="2"/>
        <v>0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>
      <c r="A112" s="212">
        <v>3440</v>
      </c>
      <c r="B112" s="213" t="s">
        <v>588</v>
      </c>
      <c r="C112" s="247">
        <v>-1105757</v>
      </c>
      <c r="D112" s="206"/>
      <c r="E112" s="214"/>
      <c r="F112" s="247">
        <v>-385647</v>
      </c>
      <c r="G112" s="206"/>
      <c r="H112" s="214"/>
      <c r="I112" s="1">
        <f t="shared" si="2"/>
        <v>-720110</v>
      </c>
      <c r="J112" s="1">
        <f t="shared" si="2"/>
        <v>0</v>
      </c>
      <c r="K112" s="1">
        <f t="shared" si="2"/>
        <v>0</v>
      </c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>
      <c r="A113" s="212">
        <v>3450</v>
      </c>
      <c r="B113" s="213" t="s">
        <v>865</v>
      </c>
      <c r="C113" s="247">
        <v>-383182</v>
      </c>
      <c r="D113" s="206"/>
      <c r="E113" s="214"/>
      <c r="F113" s="247">
        <v>-329441</v>
      </c>
      <c r="G113" s="206"/>
      <c r="H113" s="214"/>
      <c r="I113" s="1">
        <f t="shared" si="2"/>
        <v>-53741</v>
      </c>
      <c r="J113" s="1">
        <f t="shared" si="2"/>
        <v>0</v>
      </c>
      <c r="K113" s="1">
        <f t="shared" si="2"/>
        <v>0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14.4">
      <c r="A114" s="215">
        <v>3480</v>
      </c>
      <c r="B114" s="216" t="s">
        <v>190</v>
      </c>
      <c r="C114" s="247">
        <v>-728100</v>
      </c>
      <c r="D114" s="206"/>
      <c r="E114" s="214"/>
      <c r="F114" s="247">
        <v>-27000</v>
      </c>
      <c r="G114" s="206"/>
      <c r="H114" s="214"/>
      <c r="I114" s="1">
        <f t="shared" si="2"/>
        <v>-701100</v>
      </c>
      <c r="J114" s="1">
        <f t="shared" si="2"/>
        <v>0</v>
      </c>
      <c r="K114" s="1">
        <f t="shared" si="2"/>
        <v>0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>
      <c r="A115" s="212">
        <v>3490</v>
      </c>
      <c r="B115" s="213" t="s">
        <v>194</v>
      </c>
      <c r="C115" s="247">
        <v>-82846.5</v>
      </c>
      <c r="D115" s="206"/>
      <c r="E115" s="214"/>
      <c r="F115" s="247">
        <v>-261503.59</v>
      </c>
      <c r="G115" s="206"/>
      <c r="H115" s="214"/>
      <c r="I115" s="1">
        <f t="shared" si="2"/>
        <v>178657.09</v>
      </c>
      <c r="J115" s="1">
        <f t="shared" si="2"/>
        <v>0</v>
      </c>
      <c r="K115" s="1">
        <f t="shared" si="2"/>
        <v>0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>
      <c r="A116" s="212">
        <v>3610</v>
      </c>
      <c r="B116" s="213" t="s">
        <v>589</v>
      </c>
      <c r="C116" s="248">
        <v>-229342</v>
      </c>
      <c r="D116" s="206"/>
      <c r="E116" s="214"/>
      <c r="F116" s="248">
        <v>-635000</v>
      </c>
      <c r="G116" s="206"/>
      <c r="H116" s="214"/>
      <c r="I116" s="1">
        <f t="shared" si="2"/>
        <v>405658</v>
      </c>
      <c r="J116" s="1">
        <f t="shared" si="2"/>
        <v>0</v>
      </c>
      <c r="K116" s="1">
        <f t="shared" si="2"/>
        <v>0</v>
      </c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>
      <c r="A117" s="212">
        <v>3630</v>
      </c>
      <c r="B117" s="213" t="s">
        <v>198</v>
      </c>
      <c r="C117" s="248">
        <v>-2100</v>
      </c>
      <c r="D117" s="231">
        <f>SUM(C116:C117)</f>
        <v>-231442</v>
      </c>
      <c r="E117" s="214"/>
      <c r="F117" s="248">
        <v>-48150.6</v>
      </c>
      <c r="G117" s="231">
        <f>SUM(F116:F117)</f>
        <v>-683150.6</v>
      </c>
      <c r="H117" s="214"/>
      <c r="I117" s="1">
        <f t="shared" si="2"/>
        <v>46050.6</v>
      </c>
      <c r="J117" s="1">
        <f t="shared" si="2"/>
        <v>451708.6</v>
      </c>
      <c r="K117" s="1">
        <f t="shared" si="2"/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14.4">
      <c r="A118" s="215">
        <v>3700</v>
      </c>
      <c r="B118" s="216" t="s">
        <v>768</v>
      </c>
      <c r="C118" s="247">
        <v>0</v>
      </c>
      <c r="D118" s="206"/>
      <c r="E118" s="214"/>
      <c r="F118" s="247">
        <v>0</v>
      </c>
      <c r="G118" s="232"/>
      <c r="H118" s="214"/>
      <c r="I118" s="1">
        <f t="shared" si="2"/>
        <v>0</v>
      </c>
      <c r="J118" s="1">
        <f t="shared" si="2"/>
        <v>0</v>
      </c>
      <c r="K118" s="1">
        <f t="shared" si="2"/>
        <v>0</v>
      </c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14.4">
      <c r="A119" s="215">
        <v>3900</v>
      </c>
      <c r="B119" s="216" t="s">
        <v>590</v>
      </c>
      <c r="C119" s="247">
        <v>-520290</v>
      </c>
      <c r="D119" s="206"/>
      <c r="E119" s="214"/>
      <c r="F119" s="247">
        <v>-9058</v>
      </c>
      <c r="G119" s="232"/>
      <c r="H119" s="214"/>
      <c r="I119" s="1">
        <f t="shared" si="2"/>
        <v>-511232</v>
      </c>
      <c r="J119" s="1">
        <f t="shared" si="2"/>
        <v>0</v>
      </c>
      <c r="K119" s="1">
        <f t="shared" si="2"/>
        <v>0</v>
      </c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>
      <c r="A120" s="212">
        <v>3910</v>
      </c>
      <c r="B120" s="213" t="s">
        <v>591</v>
      </c>
      <c r="C120" s="249">
        <v>-2750.68</v>
      </c>
      <c r="D120" s="206"/>
      <c r="E120" s="214"/>
      <c r="F120" s="249">
        <v>-49440</v>
      </c>
      <c r="G120" s="206"/>
      <c r="H120" s="214"/>
      <c r="I120" s="1">
        <f t="shared" si="2"/>
        <v>46689.32</v>
      </c>
      <c r="J120" s="1">
        <f t="shared" si="2"/>
        <v>0</v>
      </c>
      <c r="K120" s="1">
        <f t="shared" si="2"/>
        <v>0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>
      <c r="A121" s="212">
        <v>3915</v>
      </c>
      <c r="B121" s="213" t="s">
        <v>204</v>
      </c>
      <c r="C121" s="249">
        <v>0</v>
      </c>
      <c r="D121" s="206"/>
      <c r="E121" s="214"/>
      <c r="F121" s="249">
        <v>0</v>
      </c>
      <c r="G121" s="206"/>
      <c r="H121" s="214"/>
      <c r="I121" s="1">
        <f t="shared" si="2"/>
        <v>0</v>
      </c>
      <c r="J121" s="1">
        <f t="shared" si="2"/>
        <v>0</v>
      </c>
      <c r="K121" s="1">
        <f t="shared" si="2"/>
        <v>0</v>
      </c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>
      <c r="A122" s="212">
        <v>3920</v>
      </c>
      <c r="B122" s="213" t="s">
        <v>592</v>
      </c>
      <c r="C122" s="249">
        <v>-1919866</v>
      </c>
      <c r="D122" s="206"/>
      <c r="E122" s="214"/>
      <c r="F122" s="249">
        <v>-1437945</v>
      </c>
      <c r="G122" s="206"/>
      <c r="H122" s="214"/>
      <c r="I122" s="1">
        <f t="shared" si="2"/>
        <v>-481921</v>
      </c>
      <c r="J122" s="1">
        <f t="shared" si="2"/>
        <v>0</v>
      </c>
      <c r="K122" s="1">
        <f t="shared" si="2"/>
        <v>0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>
      <c r="A123" s="212">
        <v>3925</v>
      </c>
      <c r="B123" s="213" t="s">
        <v>208</v>
      </c>
      <c r="C123" s="249">
        <v>0</v>
      </c>
      <c r="D123" s="233">
        <f>SUM(C120:C123)</f>
        <v>-1922616.68</v>
      </c>
      <c r="E123" s="214"/>
      <c r="F123" s="249">
        <v>0</v>
      </c>
      <c r="G123" s="233">
        <f>SUM(F120:F123)</f>
        <v>-1487385</v>
      </c>
      <c r="H123" s="214"/>
      <c r="I123" s="1">
        <f t="shared" si="2"/>
        <v>0</v>
      </c>
      <c r="J123" s="1">
        <f t="shared" si="2"/>
        <v>-435231.67999999993</v>
      </c>
      <c r="K123" s="1">
        <f t="shared" si="2"/>
        <v>0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>
      <c r="A124" s="212">
        <v>3940</v>
      </c>
      <c r="B124" s="213" t="s">
        <v>212</v>
      </c>
      <c r="C124" s="247">
        <v>-50890</v>
      </c>
      <c r="D124" s="206"/>
      <c r="E124" s="214"/>
      <c r="F124" s="247">
        <v>-105086</v>
      </c>
      <c r="G124" s="206"/>
      <c r="H124" s="214"/>
      <c r="I124" s="1">
        <f t="shared" si="2"/>
        <v>54196</v>
      </c>
      <c r="J124" s="1">
        <f t="shared" si="2"/>
        <v>0</v>
      </c>
      <c r="K124" s="1">
        <f t="shared" si="2"/>
        <v>0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>
      <c r="A125" s="212">
        <v>3950</v>
      </c>
      <c r="B125" s="213" t="s">
        <v>214</v>
      </c>
      <c r="C125" s="247">
        <v>-386669.14</v>
      </c>
      <c r="D125" s="206"/>
      <c r="E125" s="214"/>
      <c r="F125" s="247">
        <v>-392617.64</v>
      </c>
      <c r="G125" s="206"/>
      <c r="H125" s="214"/>
      <c r="I125" s="1">
        <f t="shared" si="2"/>
        <v>5948.5</v>
      </c>
      <c r="J125" s="1">
        <f t="shared" si="2"/>
        <v>0</v>
      </c>
      <c r="K125" s="1">
        <f t="shared" si="2"/>
        <v>0</v>
      </c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>
      <c r="A126" s="212">
        <v>3960</v>
      </c>
      <c r="B126" s="213" t="s">
        <v>216</v>
      </c>
      <c r="C126" s="247">
        <v>-296905.34999999998</v>
      </c>
      <c r="D126" s="206"/>
      <c r="E126" s="214"/>
      <c r="F126" s="247">
        <v>-454774.79</v>
      </c>
      <c r="G126" s="206"/>
      <c r="H126" s="214"/>
      <c r="I126" s="1">
        <f t="shared" si="2"/>
        <v>157869.44</v>
      </c>
      <c r="J126" s="1">
        <f t="shared" si="2"/>
        <v>0</v>
      </c>
      <c r="K126" s="1">
        <f t="shared" si="2"/>
        <v>0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>
      <c r="A127" s="212">
        <v>3970</v>
      </c>
      <c r="B127" s="213" t="s">
        <v>218</v>
      </c>
      <c r="C127" s="247">
        <v>-341117.25</v>
      </c>
      <c r="D127" s="206"/>
      <c r="E127" s="214"/>
      <c r="F127" s="247">
        <v>-299773.8</v>
      </c>
      <c r="G127" s="206"/>
      <c r="H127" s="214"/>
      <c r="I127" s="1">
        <f t="shared" si="2"/>
        <v>-41343.450000000012</v>
      </c>
      <c r="J127" s="1">
        <f t="shared" si="2"/>
        <v>0</v>
      </c>
      <c r="K127" s="1">
        <f t="shared" si="2"/>
        <v>0</v>
      </c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>
      <c r="A128" s="212">
        <v>3990</v>
      </c>
      <c r="B128" s="213" t="s">
        <v>220</v>
      </c>
      <c r="C128" s="283">
        <v>-840206.88</v>
      </c>
      <c r="D128" s="279">
        <f>C107+C108+C109+C110+C112+C113+C114+C115+C118+C119+C124+C125+C126+C127+C128+C129+C130</f>
        <v>-5193954.08</v>
      </c>
      <c r="E128" s="274"/>
      <c r="F128" s="279">
        <v>-567171.07999999996</v>
      </c>
      <c r="G128" s="279">
        <f>F107+F108+F109+F110+F112+F113+F114+F115+F118+F124+F125+F126+F127+F128+F119+F130+F129</f>
        <v>-3567591.11</v>
      </c>
      <c r="H128" s="217"/>
      <c r="I128" s="1">
        <f t="shared" si="2"/>
        <v>-273035.80000000005</v>
      </c>
      <c r="J128" s="1">
        <f>D128-G128</f>
        <v>-1626362.9700000002</v>
      </c>
      <c r="K128" s="1">
        <f t="shared" si="2"/>
        <v>0</v>
      </c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1:28">
      <c r="A129" s="212">
        <v>3991</v>
      </c>
      <c r="B129" s="213" t="s">
        <v>832</v>
      </c>
      <c r="C129" s="283">
        <v>0</v>
      </c>
      <c r="D129" s="279"/>
      <c r="E129" s="274"/>
      <c r="F129" s="279">
        <v>-2567</v>
      </c>
      <c r="G129" s="279"/>
      <c r="H129" s="217"/>
      <c r="I129" s="1">
        <f t="shared" si="2"/>
        <v>2567</v>
      </c>
      <c r="J129" s="1"/>
      <c r="K129" s="1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1:28" ht="13.8" thickBot="1">
      <c r="A130" s="212">
        <v>3991</v>
      </c>
      <c r="B130" s="213" t="s">
        <v>832</v>
      </c>
      <c r="C130" s="275">
        <v>-132665.96</v>
      </c>
      <c r="D130" s="276"/>
      <c r="E130" s="277"/>
      <c r="F130" s="275">
        <v>2283.38</v>
      </c>
      <c r="G130" s="276"/>
      <c r="H130" s="278"/>
      <c r="I130" s="1"/>
      <c r="K130" s="1">
        <f t="shared" ref="K130:K194" si="3">E130-H130</f>
        <v>0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1:28">
      <c r="A131" s="212"/>
      <c r="B131" s="213" t="s">
        <v>593</v>
      </c>
      <c r="C131" s="241">
        <f>SUM(C107:C130)</f>
        <v>-8323352.7599999988</v>
      </c>
      <c r="D131" s="206"/>
      <c r="E131" s="214">
        <f>SUM(D111:D128)</f>
        <v>-8323352.7599999998</v>
      </c>
      <c r="F131" s="241">
        <f>SUM(F107:F130)</f>
        <v>-7649876.709999999</v>
      </c>
      <c r="G131" s="206"/>
      <c r="H131" s="214">
        <f>SUM(G111:G128)</f>
        <v>-7649876.71</v>
      </c>
      <c r="I131" s="1"/>
      <c r="K131" s="1">
        <f t="shared" si="3"/>
        <v>-673476.04999999981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1:28">
      <c r="A132" s="212"/>
      <c r="B132" s="213"/>
      <c r="C132" s="241" t="s">
        <v>374</v>
      </c>
      <c r="D132" s="206"/>
      <c r="E132" s="214"/>
      <c r="F132" s="241"/>
      <c r="G132" s="206"/>
      <c r="H132" s="214"/>
      <c r="I132" s="1"/>
      <c r="K132" s="1">
        <f t="shared" si="3"/>
        <v>0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1:28" ht="14.4">
      <c r="A133" s="215">
        <v>4000</v>
      </c>
      <c r="B133" s="216" t="s">
        <v>769</v>
      </c>
      <c r="C133" s="250">
        <v>0</v>
      </c>
      <c r="D133" s="206"/>
      <c r="E133" s="214"/>
      <c r="F133" s="250">
        <v>0</v>
      </c>
      <c r="G133" s="206"/>
      <c r="H133" s="214"/>
      <c r="I133" s="1">
        <f t="shared" ref="I133:K201" si="4">C133-F133</f>
        <v>0</v>
      </c>
      <c r="J133" s="1">
        <f t="shared" si="4"/>
        <v>0</v>
      </c>
      <c r="K133" s="1">
        <f t="shared" si="3"/>
        <v>0</v>
      </c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1:28">
      <c r="A134" s="212">
        <v>4110</v>
      </c>
      <c r="B134" s="213" t="s">
        <v>696</v>
      </c>
      <c r="C134" s="250">
        <v>308320.26</v>
      </c>
      <c r="D134" s="206"/>
      <c r="E134" s="214"/>
      <c r="F134" s="250">
        <v>298969.01</v>
      </c>
      <c r="G134" s="206"/>
      <c r="H134" s="214"/>
      <c r="I134" s="1">
        <f t="shared" si="4"/>
        <v>9351.25</v>
      </c>
      <c r="J134" s="1">
        <f t="shared" si="4"/>
        <v>0</v>
      </c>
      <c r="K134" s="1">
        <f t="shared" si="3"/>
        <v>0</v>
      </c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1:28">
      <c r="A135" s="212">
        <v>4120</v>
      </c>
      <c r="B135" s="213" t="s">
        <v>697</v>
      </c>
      <c r="C135" s="250">
        <v>539530.12</v>
      </c>
      <c r="D135" s="206"/>
      <c r="E135" s="214"/>
      <c r="F135" s="250">
        <v>323956.26</v>
      </c>
      <c r="G135" s="206"/>
      <c r="H135" s="214"/>
      <c r="I135" s="1">
        <f t="shared" si="4"/>
        <v>215573.86</v>
      </c>
      <c r="J135" s="1">
        <f t="shared" si="4"/>
        <v>0</v>
      </c>
      <c r="K135" s="1">
        <f t="shared" si="3"/>
        <v>0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1:28">
      <c r="A136" s="212">
        <v>4150</v>
      </c>
      <c r="B136" s="213" t="s">
        <v>698</v>
      </c>
      <c r="C136" s="250">
        <v>0</v>
      </c>
      <c r="D136" s="206"/>
      <c r="E136" s="214"/>
      <c r="F136" s="250">
        <v>63361.34</v>
      </c>
      <c r="G136" s="206"/>
      <c r="H136" s="214"/>
      <c r="I136" s="1">
        <f t="shared" si="4"/>
        <v>-63361.34</v>
      </c>
      <c r="J136" s="1">
        <f t="shared" si="4"/>
        <v>0</v>
      </c>
      <c r="K136" s="1">
        <f t="shared" si="3"/>
        <v>0</v>
      </c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1:28">
      <c r="A137" s="212">
        <v>4160</v>
      </c>
      <c r="B137" s="213" t="s">
        <v>444</v>
      </c>
      <c r="C137" s="250">
        <v>0</v>
      </c>
      <c r="D137" s="206"/>
      <c r="E137" s="214"/>
      <c r="F137" s="250">
        <v>3659</v>
      </c>
      <c r="G137" s="206"/>
      <c r="H137" s="214"/>
      <c r="I137" s="1">
        <f t="shared" si="4"/>
        <v>-3659</v>
      </c>
      <c r="J137" s="1">
        <f t="shared" si="4"/>
        <v>0</v>
      </c>
      <c r="K137" s="1">
        <f t="shared" si="3"/>
        <v>0</v>
      </c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:28">
      <c r="A138" s="212">
        <v>4200</v>
      </c>
      <c r="B138" s="213" t="s">
        <v>323</v>
      </c>
      <c r="C138" s="250">
        <v>792957.47</v>
      </c>
      <c r="D138" s="206"/>
      <c r="E138" s="214"/>
      <c r="F138" s="250">
        <v>914655.62</v>
      </c>
      <c r="G138" s="206"/>
      <c r="H138" s="214"/>
      <c r="I138" s="1">
        <f t="shared" si="4"/>
        <v>-121698.15000000002</v>
      </c>
      <c r="J138" s="1">
        <f t="shared" si="4"/>
        <v>0</v>
      </c>
      <c r="K138" s="1">
        <f t="shared" si="3"/>
        <v>0</v>
      </c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:28">
      <c r="A139" s="212">
        <v>4300</v>
      </c>
      <c r="B139" s="213" t="s">
        <v>699</v>
      </c>
      <c r="C139" s="250">
        <v>5382.8</v>
      </c>
      <c r="D139" s="206"/>
      <c r="E139" s="214"/>
      <c r="F139" s="250">
        <v>16210.33</v>
      </c>
      <c r="G139" s="206"/>
      <c r="H139" s="214"/>
      <c r="I139" s="1">
        <f t="shared" si="4"/>
        <v>-10827.529999999999</v>
      </c>
      <c r="J139" s="1">
        <f t="shared" si="4"/>
        <v>0</v>
      </c>
      <c r="K139" s="1">
        <f t="shared" si="3"/>
        <v>0</v>
      </c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1:28">
      <c r="A140" s="212">
        <v>4350</v>
      </c>
      <c r="B140" s="213" t="s">
        <v>833</v>
      </c>
      <c r="C140" s="250">
        <v>0</v>
      </c>
      <c r="D140" s="206"/>
      <c r="E140" s="214"/>
      <c r="F140" s="250">
        <v>0</v>
      </c>
      <c r="G140" s="206"/>
      <c r="H140" s="214"/>
      <c r="I140" s="1">
        <f t="shared" si="4"/>
        <v>0</v>
      </c>
      <c r="J140" s="1">
        <f t="shared" si="4"/>
        <v>0</v>
      </c>
      <c r="K140" s="1">
        <f t="shared" si="3"/>
        <v>0</v>
      </c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1:28">
      <c r="A141" s="212">
        <v>4500</v>
      </c>
      <c r="B141" s="213" t="s">
        <v>700</v>
      </c>
      <c r="C141" s="250">
        <v>133174.5</v>
      </c>
      <c r="D141" s="206"/>
      <c r="E141" s="214"/>
      <c r="F141" s="250">
        <v>70947</v>
      </c>
      <c r="G141" s="206"/>
      <c r="H141" s="214"/>
      <c r="I141" s="1">
        <f t="shared" si="4"/>
        <v>62227.5</v>
      </c>
      <c r="J141" s="1">
        <f t="shared" si="4"/>
        <v>0</v>
      </c>
      <c r="K141" s="1">
        <f t="shared" si="3"/>
        <v>0</v>
      </c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1:28">
      <c r="A142" s="212">
        <v>4510</v>
      </c>
      <c r="B142" s="213" t="s">
        <v>701</v>
      </c>
      <c r="C142" s="250">
        <v>137001.39000000001</v>
      </c>
      <c r="D142" s="206"/>
      <c r="E142" s="214"/>
      <c r="F142" s="250">
        <v>166439.49</v>
      </c>
      <c r="G142" s="206"/>
      <c r="H142" s="214"/>
      <c r="I142" s="1">
        <f t="shared" si="4"/>
        <v>-29438.099999999977</v>
      </c>
      <c r="J142" s="1">
        <f t="shared" si="4"/>
        <v>0</v>
      </c>
      <c r="K142" s="1">
        <f t="shared" si="3"/>
        <v>0</v>
      </c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>
      <c r="A143" s="212">
        <v>4590</v>
      </c>
      <c r="B143" s="213" t="s">
        <v>435</v>
      </c>
      <c r="C143" s="250">
        <v>-8416.3700000000008</v>
      </c>
      <c r="D143" s="206"/>
      <c r="E143" s="214"/>
      <c r="F143" s="250">
        <v>-34253.5</v>
      </c>
      <c r="G143" s="206"/>
      <c r="H143" s="214"/>
      <c r="I143" s="1">
        <f t="shared" si="4"/>
        <v>25837.129999999997</v>
      </c>
      <c r="J143" s="1">
        <f t="shared" si="4"/>
        <v>0</v>
      </c>
      <c r="K143" s="1">
        <f t="shared" si="3"/>
        <v>0</v>
      </c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1:28">
      <c r="A144" s="212">
        <v>4610</v>
      </c>
      <c r="B144" s="213" t="s">
        <v>702</v>
      </c>
      <c r="C144" s="250">
        <v>157295.37</v>
      </c>
      <c r="D144" s="206"/>
      <c r="E144" s="214"/>
      <c r="F144" s="250">
        <v>135857.79</v>
      </c>
      <c r="G144" s="206"/>
      <c r="H144" s="214"/>
      <c r="I144" s="1">
        <f t="shared" si="4"/>
        <v>21437.579999999987</v>
      </c>
      <c r="J144" s="1">
        <f t="shared" si="4"/>
        <v>0</v>
      </c>
      <c r="K144" s="1">
        <f t="shared" si="3"/>
        <v>0</v>
      </c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1:28">
      <c r="A145" s="212">
        <v>4700</v>
      </c>
      <c r="B145" s="213" t="s">
        <v>335</v>
      </c>
      <c r="C145" s="250">
        <v>815270.5</v>
      </c>
      <c r="D145" s="206"/>
      <c r="E145" s="214"/>
      <c r="F145" s="250">
        <v>546087.5</v>
      </c>
      <c r="G145" s="206"/>
      <c r="H145" s="214"/>
      <c r="I145" s="1">
        <f t="shared" si="4"/>
        <v>269183</v>
      </c>
      <c r="J145" s="1">
        <f t="shared" si="4"/>
        <v>0</v>
      </c>
      <c r="K145" s="1">
        <f t="shared" si="3"/>
        <v>0</v>
      </c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:28">
      <c r="A146" s="212">
        <v>4800</v>
      </c>
      <c r="B146" s="213" t="s">
        <v>703</v>
      </c>
      <c r="C146" s="250">
        <v>1126492.26</v>
      </c>
      <c r="D146" s="206"/>
      <c r="E146" s="214"/>
      <c r="F146" s="250">
        <v>838920.74</v>
      </c>
      <c r="G146" s="206"/>
      <c r="H146" s="214"/>
      <c r="I146" s="1">
        <f t="shared" si="4"/>
        <v>287571.52</v>
      </c>
      <c r="J146" s="1">
        <f t="shared" si="4"/>
        <v>0</v>
      </c>
      <c r="K146" s="1">
        <f t="shared" si="3"/>
        <v>0</v>
      </c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:28" ht="14.4">
      <c r="A147" s="215">
        <v>4900</v>
      </c>
      <c r="B147" s="216" t="s">
        <v>770</v>
      </c>
      <c r="C147" s="250">
        <v>5700</v>
      </c>
      <c r="D147" s="206"/>
      <c r="E147" s="214"/>
      <c r="F147" s="250">
        <v>2091</v>
      </c>
      <c r="G147" s="206"/>
      <c r="H147" s="214"/>
      <c r="I147" s="1">
        <f t="shared" si="4"/>
        <v>3609</v>
      </c>
      <c r="J147" s="1">
        <f t="shared" si="4"/>
        <v>0</v>
      </c>
      <c r="K147" s="1">
        <f t="shared" si="3"/>
        <v>0</v>
      </c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1:28">
      <c r="A148" s="212">
        <v>4990</v>
      </c>
      <c r="B148" s="213" t="s">
        <v>704</v>
      </c>
      <c r="C148" s="250">
        <v>275433.95</v>
      </c>
      <c r="D148" s="206"/>
      <c r="E148" s="214"/>
      <c r="F148" s="250">
        <v>295234.63</v>
      </c>
      <c r="G148" s="206"/>
      <c r="H148" s="214"/>
      <c r="I148" s="1">
        <f t="shared" si="4"/>
        <v>-19800.679999999993</v>
      </c>
      <c r="J148" s="1">
        <f t="shared" si="4"/>
        <v>0</v>
      </c>
      <c r="K148" s="1">
        <f t="shared" si="3"/>
        <v>0</v>
      </c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1:28">
      <c r="A149" s="212"/>
      <c r="B149" s="213" t="s">
        <v>595</v>
      </c>
      <c r="C149" s="250">
        <f>SUM(C133:C148)</f>
        <v>4288142.25</v>
      </c>
      <c r="D149" s="234">
        <f>C149</f>
        <v>4288142.25</v>
      </c>
      <c r="E149" s="214"/>
      <c r="F149" s="250">
        <f>SUM(F133:F148)</f>
        <v>3642136.21</v>
      </c>
      <c r="G149" s="234">
        <f>F149</f>
        <v>3642136.21</v>
      </c>
      <c r="H149" s="214"/>
      <c r="I149" s="1">
        <f t="shared" si="4"/>
        <v>646006.04</v>
      </c>
      <c r="J149" s="1">
        <f t="shared" si="4"/>
        <v>646006.04</v>
      </c>
      <c r="K149" s="1">
        <f t="shared" si="3"/>
        <v>0</v>
      </c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1:28">
      <c r="A150" s="212"/>
      <c r="B150" s="213"/>
      <c r="C150" s="241" t="s">
        <v>374</v>
      </c>
      <c r="D150" s="206"/>
      <c r="E150" s="214"/>
      <c r="F150" s="241"/>
      <c r="G150" s="206"/>
      <c r="H150" s="214"/>
      <c r="I150" s="1">
        <v>0</v>
      </c>
      <c r="J150" s="1">
        <f t="shared" si="4"/>
        <v>0</v>
      </c>
      <c r="K150" s="1">
        <f t="shared" si="3"/>
        <v>0</v>
      </c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1:28">
      <c r="A151" s="212">
        <v>5000</v>
      </c>
      <c r="B151" s="213" t="s">
        <v>834</v>
      </c>
      <c r="C151" s="251">
        <v>0</v>
      </c>
      <c r="D151" s="206"/>
      <c r="E151" s="214"/>
      <c r="F151" s="251">
        <v>54098.41</v>
      </c>
      <c r="G151" s="206"/>
      <c r="H151" s="214"/>
      <c r="I151" s="1">
        <f t="shared" si="4"/>
        <v>-54098.41</v>
      </c>
      <c r="J151" s="1">
        <f t="shared" si="4"/>
        <v>0</v>
      </c>
      <c r="K151" s="1">
        <f t="shared" si="3"/>
        <v>0</v>
      </c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:28">
      <c r="A152" s="212">
        <v>5010</v>
      </c>
      <c r="B152" s="213" t="s">
        <v>596</v>
      </c>
      <c r="C152" s="251">
        <v>372371.6</v>
      </c>
      <c r="D152" s="206"/>
      <c r="E152" s="214"/>
      <c r="F152" s="251">
        <v>338435.59</v>
      </c>
      <c r="G152" s="206"/>
      <c r="H152" s="214"/>
      <c r="I152" s="1">
        <f t="shared" si="4"/>
        <v>33936.009999999951</v>
      </c>
      <c r="J152" s="1">
        <f t="shared" si="4"/>
        <v>0</v>
      </c>
      <c r="K152" s="1">
        <f t="shared" si="3"/>
        <v>0</v>
      </c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:28">
      <c r="A153" s="212">
        <v>5011</v>
      </c>
      <c r="B153" s="213" t="s">
        <v>597</v>
      </c>
      <c r="C153" s="251">
        <v>499405.89</v>
      </c>
      <c r="D153" s="206"/>
      <c r="E153" s="214"/>
      <c r="F153" s="251">
        <v>499664.5</v>
      </c>
      <c r="G153" s="206"/>
      <c r="H153" s="214"/>
      <c r="I153" s="1">
        <f t="shared" si="4"/>
        <v>-258.60999999998603</v>
      </c>
      <c r="J153" s="1">
        <f t="shared" si="4"/>
        <v>0</v>
      </c>
      <c r="K153" s="1">
        <f t="shared" si="3"/>
        <v>0</v>
      </c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1:28">
      <c r="A154" s="212">
        <v>5020</v>
      </c>
      <c r="B154" s="213" t="s">
        <v>900</v>
      </c>
      <c r="C154" s="251">
        <v>0</v>
      </c>
      <c r="D154" s="206"/>
      <c r="E154" s="214"/>
      <c r="F154" s="251">
        <v>0</v>
      </c>
      <c r="G154" s="206"/>
      <c r="H154" s="214"/>
      <c r="I154" s="1">
        <f t="shared" si="4"/>
        <v>0</v>
      </c>
      <c r="J154" s="1">
        <f t="shared" si="4"/>
        <v>0</v>
      </c>
      <c r="K154" s="1">
        <f t="shared" si="3"/>
        <v>0</v>
      </c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1:28">
      <c r="A155" s="212">
        <v>5030</v>
      </c>
      <c r="B155" s="213" t="s">
        <v>866</v>
      </c>
      <c r="C155" s="251">
        <v>4900</v>
      </c>
      <c r="D155" s="206"/>
      <c r="E155" s="214"/>
      <c r="F155" s="251">
        <v>89186</v>
      </c>
      <c r="G155" s="206"/>
      <c r="H155" s="214"/>
      <c r="I155" s="1">
        <f t="shared" si="4"/>
        <v>-84286</v>
      </c>
      <c r="J155" s="1">
        <f t="shared" si="4"/>
        <v>0</v>
      </c>
      <c r="K155" s="1">
        <f t="shared" si="3"/>
        <v>0</v>
      </c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1:28" ht="14.4">
      <c r="A156" s="215">
        <v>5090</v>
      </c>
      <c r="B156" s="216" t="s">
        <v>771</v>
      </c>
      <c r="C156" s="251">
        <v>44684.59</v>
      </c>
      <c r="D156" s="206"/>
      <c r="E156" s="214"/>
      <c r="F156" s="251">
        <v>47104.09</v>
      </c>
      <c r="G156" s="206"/>
      <c r="H156" s="214"/>
      <c r="I156" s="1">
        <f t="shared" si="4"/>
        <v>-2419.5</v>
      </c>
      <c r="J156" s="1">
        <f t="shared" si="4"/>
        <v>0</v>
      </c>
      <c r="K156" s="1">
        <f t="shared" si="3"/>
        <v>0</v>
      </c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1:28" ht="14.4">
      <c r="A157" s="215">
        <v>5095</v>
      </c>
      <c r="B157" s="216" t="s">
        <v>867</v>
      </c>
      <c r="C157" s="251">
        <v>-4900</v>
      </c>
      <c r="D157" s="206"/>
      <c r="E157" s="214"/>
      <c r="F157" s="251">
        <v>-89186</v>
      </c>
      <c r="G157" s="206"/>
      <c r="H157" s="214"/>
      <c r="I157" s="1">
        <f t="shared" si="4"/>
        <v>84286</v>
      </c>
      <c r="J157" s="1">
        <f t="shared" si="4"/>
        <v>0</v>
      </c>
      <c r="K157" s="1">
        <f t="shared" si="3"/>
        <v>0</v>
      </c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1:28">
      <c r="A158" s="212">
        <v>5250</v>
      </c>
      <c r="B158" s="213" t="s">
        <v>600</v>
      </c>
      <c r="C158" s="251">
        <v>7657.5</v>
      </c>
      <c r="D158" s="206"/>
      <c r="E158" s="214"/>
      <c r="F158" s="251">
        <v>8408</v>
      </c>
      <c r="G158" s="206"/>
      <c r="H158" s="214"/>
      <c r="I158" s="1">
        <f t="shared" si="4"/>
        <v>-750.5</v>
      </c>
      <c r="J158" s="1">
        <f t="shared" si="4"/>
        <v>0</v>
      </c>
      <c r="K158" s="1">
        <f t="shared" si="3"/>
        <v>0</v>
      </c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>
      <c r="A159" s="212">
        <v>5270</v>
      </c>
      <c r="B159" s="213" t="s">
        <v>601</v>
      </c>
      <c r="C159" s="251">
        <v>4392</v>
      </c>
      <c r="D159" s="206" t="s">
        <v>374</v>
      </c>
      <c r="E159" s="214"/>
      <c r="F159" s="251">
        <v>4758</v>
      </c>
      <c r="G159" s="206"/>
      <c r="H159" s="214"/>
      <c r="I159" s="1">
        <f t="shared" si="4"/>
        <v>-366</v>
      </c>
      <c r="J159" s="1">
        <v>0</v>
      </c>
      <c r="K159" s="1">
        <f t="shared" si="3"/>
        <v>0</v>
      </c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</row>
    <row r="160" spans="1:28">
      <c r="A160" s="212">
        <v>5290</v>
      </c>
      <c r="B160" s="213" t="s">
        <v>602</v>
      </c>
      <c r="C160" s="251">
        <v>-12049.5</v>
      </c>
      <c r="D160" s="206"/>
      <c r="E160" s="214"/>
      <c r="F160" s="251">
        <v>-13166</v>
      </c>
      <c r="G160" s="206"/>
      <c r="H160" s="214"/>
      <c r="I160" s="1">
        <f t="shared" si="4"/>
        <v>1116.5</v>
      </c>
      <c r="J160" s="1">
        <f t="shared" si="4"/>
        <v>0</v>
      </c>
      <c r="K160" s="1">
        <f t="shared" si="3"/>
        <v>0</v>
      </c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</row>
    <row r="161" spans="1:28" ht="14.4">
      <c r="A161" s="215">
        <v>5310</v>
      </c>
      <c r="B161" s="216" t="s">
        <v>772</v>
      </c>
      <c r="C161" s="251">
        <v>899.9</v>
      </c>
      <c r="D161" s="206"/>
      <c r="E161" s="214"/>
      <c r="F161" s="251">
        <v>785.6</v>
      </c>
      <c r="G161" s="206"/>
      <c r="H161" s="214"/>
      <c r="I161" s="1">
        <f t="shared" si="4"/>
        <v>114.29999999999995</v>
      </c>
      <c r="J161" s="1">
        <f t="shared" si="4"/>
        <v>0</v>
      </c>
      <c r="K161" s="1">
        <f t="shared" si="3"/>
        <v>0</v>
      </c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</row>
    <row r="162" spans="1:28" ht="14.4">
      <c r="A162" s="215">
        <v>5320</v>
      </c>
      <c r="B162" s="343" t="s">
        <v>901</v>
      </c>
      <c r="C162" s="251">
        <v>107</v>
      </c>
      <c r="D162" s="206"/>
      <c r="E162" s="214"/>
      <c r="F162" s="251">
        <v>0</v>
      </c>
      <c r="G162" s="206"/>
      <c r="H162" s="214"/>
      <c r="I162" s="1">
        <f t="shared" si="4"/>
        <v>107</v>
      </c>
      <c r="J162" s="1">
        <f t="shared" si="4"/>
        <v>0</v>
      </c>
      <c r="K162" s="1">
        <f t="shared" si="3"/>
        <v>0</v>
      </c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</row>
    <row r="163" spans="1:28">
      <c r="A163" s="212">
        <v>5330</v>
      </c>
      <c r="B163" s="213" t="s">
        <v>705</v>
      </c>
      <c r="C163" s="251">
        <v>0</v>
      </c>
      <c r="D163" s="206"/>
      <c r="E163" s="214"/>
      <c r="F163" s="251">
        <v>0</v>
      </c>
      <c r="G163" s="206"/>
      <c r="H163" s="214"/>
      <c r="I163" s="1">
        <f t="shared" si="4"/>
        <v>0</v>
      </c>
      <c r="J163" s="1">
        <f t="shared" si="4"/>
        <v>0</v>
      </c>
      <c r="K163" s="1">
        <f t="shared" si="3"/>
        <v>0</v>
      </c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</row>
    <row r="164" spans="1:28">
      <c r="A164" s="212">
        <v>5350</v>
      </c>
      <c r="B164" s="213" t="s">
        <v>603</v>
      </c>
      <c r="C164" s="251">
        <v>35312.550000000003</v>
      </c>
      <c r="D164" s="206"/>
      <c r="E164" s="214"/>
      <c r="F164" s="251">
        <v>10547.82</v>
      </c>
      <c r="G164" s="206"/>
      <c r="H164" s="214"/>
      <c r="I164" s="1">
        <f t="shared" si="4"/>
        <v>24764.730000000003</v>
      </c>
      <c r="J164" s="1">
        <f t="shared" si="4"/>
        <v>0</v>
      </c>
      <c r="K164" s="1">
        <f t="shared" si="3"/>
        <v>0</v>
      </c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</row>
    <row r="165" spans="1:28">
      <c r="A165" s="212">
        <v>5400</v>
      </c>
      <c r="B165" s="213" t="s">
        <v>232</v>
      </c>
      <c r="C165" s="251">
        <v>125452.63</v>
      </c>
      <c r="D165" s="206"/>
      <c r="E165" s="214"/>
      <c r="F165" s="251">
        <v>140325.25</v>
      </c>
      <c r="G165" s="206"/>
      <c r="H165" s="214"/>
      <c r="I165" s="1">
        <f t="shared" si="4"/>
        <v>-14872.619999999995</v>
      </c>
      <c r="J165" s="1">
        <f t="shared" si="4"/>
        <v>0</v>
      </c>
      <c r="K165" s="1">
        <f t="shared" si="3"/>
        <v>0</v>
      </c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</row>
    <row r="166" spans="1:28">
      <c r="A166" s="212">
        <v>5401</v>
      </c>
      <c r="B166" s="213" t="s">
        <v>605</v>
      </c>
      <c r="C166" s="251">
        <v>6300.53</v>
      </c>
      <c r="D166" s="206"/>
      <c r="E166" s="214"/>
      <c r="F166" s="251">
        <v>6641.68</v>
      </c>
      <c r="G166" s="206"/>
      <c r="H166" s="214"/>
      <c r="I166" s="1">
        <f t="shared" si="4"/>
        <v>-341.15000000000055</v>
      </c>
      <c r="J166" s="1">
        <f t="shared" si="4"/>
        <v>0</v>
      </c>
      <c r="K166" s="1">
        <f t="shared" si="3"/>
        <v>0</v>
      </c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</row>
    <row r="167" spans="1:28">
      <c r="A167" s="212">
        <v>5800</v>
      </c>
      <c r="B167" s="213" t="s">
        <v>706</v>
      </c>
      <c r="C167" s="251">
        <v>0</v>
      </c>
      <c r="D167" s="206"/>
      <c r="E167" s="214"/>
      <c r="F167" s="251">
        <v>0</v>
      </c>
      <c r="G167" s="206"/>
      <c r="H167" s="214"/>
      <c r="I167" s="1">
        <f t="shared" si="4"/>
        <v>0</v>
      </c>
      <c r="J167" s="1">
        <f t="shared" si="4"/>
        <v>0</v>
      </c>
      <c r="K167" s="1">
        <f t="shared" si="3"/>
        <v>0</v>
      </c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</row>
    <row r="168" spans="1:28">
      <c r="A168" s="212">
        <v>5801</v>
      </c>
      <c r="B168" s="213" t="s">
        <v>707</v>
      </c>
      <c r="C168" s="251">
        <v>0</v>
      </c>
      <c r="D168" s="206"/>
      <c r="E168" s="214"/>
      <c r="F168" s="251">
        <v>0</v>
      </c>
      <c r="G168" s="206"/>
      <c r="H168" s="214"/>
      <c r="I168" s="1">
        <f t="shared" si="4"/>
        <v>0</v>
      </c>
      <c r="J168" s="1">
        <f t="shared" si="4"/>
        <v>0</v>
      </c>
      <c r="K168" s="1">
        <f t="shared" si="3"/>
        <v>0</v>
      </c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</row>
    <row r="169" spans="1:28">
      <c r="A169" s="212">
        <v>5802</v>
      </c>
      <c r="B169" s="213" t="s">
        <v>708</v>
      </c>
      <c r="C169" s="251">
        <v>0</v>
      </c>
      <c r="D169" s="206"/>
      <c r="E169" s="214"/>
      <c r="F169" s="251">
        <v>0</v>
      </c>
      <c r="G169" s="206"/>
      <c r="H169" s="214"/>
      <c r="I169" s="1">
        <f t="shared" si="4"/>
        <v>0</v>
      </c>
      <c r="J169" s="1">
        <f t="shared" si="4"/>
        <v>0</v>
      </c>
      <c r="K169" s="1">
        <f t="shared" si="3"/>
        <v>0</v>
      </c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</row>
    <row r="170" spans="1:28">
      <c r="A170" s="212">
        <v>5900</v>
      </c>
      <c r="B170" s="213" t="s">
        <v>835</v>
      </c>
      <c r="C170" s="251">
        <v>1138.5</v>
      </c>
      <c r="D170" s="206"/>
      <c r="E170" s="214"/>
      <c r="F170" s="251">
        <v>4411</v>
      </c>
      <c r="G170" s="206"/>
      <c r="H170" s="214"/>
      <c r="I170" s="1">
        <f t="shared" si="4"/>
        <v>-3272.5</v>
      </c>
      <c r="J170" s="1">
        <f t="shared" si="4"/>
        <v>0</v>
      </c>
      <c r="K170" s="1">
        <f t="shared" si="3"/>
        <v>0</v>
      </c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</row>
    <row r="171" spans="1:28">
      <c r="A171" s="212">
        <v>5910</v>
      </c>
      <c r="B171" s="213" t="s">
        <v>836</v>
      </c>
      <c r="C171" s="251">
        <v>267</v>
      </c>
      <c r="D171" s="206"/>
      <c r="E171" s="214"/>
      <c r="F171" s="251">
        <v>8204.23</v>
      </c>
      <c r="G171" s="206"/>
      <c r="H171" s="214"/>
      <c r="I171" s="1">
        <f t="shared" si="4"/>
        <v>-7937.23</v>
      </c>
      <c r="J171" s="1">
        <f t="shared" si="4"/>
        <v>0</v>
      </c>
      <c r="K171" s="1">
        <f t="shared" si="3"/>
        <v>0</v>
      </c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</row>
    <row r="172" spans="1:28">
      <c r="A172" s="212">
        <v>5945</v>
      </c>
      <c r="B172" s="213" t="s">
        <v>607</v>
      </c>
      <c r="C172" s="251">
        <v>6895.29</v>
      </c>
      <c r="D172" s="206"/>
      <c r="E172" s="214"/>
      <c r="F172" s="251">
        <v>9170.1</v>
      </c>
      <c r="G172" s="206"/>
      <c r="H172" s="214"/>
      <c r="I172" s="1">
        <f t="shared" si="4"/>
        <v>-2274.8100000000004</v>
      </c>
      <c r="J172" s="1">
        <f t="shared" si="4"/>
        <v>0</v>
      </c>
      <c r="K172" s="1">
        <f t="shared" si="3"/>
        <v>0</v>
      </c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</row>
    <row r="173" spans="1:28">
      <c r="A173" s="212">
        <v>5990</v>
      </c>
      <c r="B173" s="213" t="s">
        <v>608</v>
      </c>
      <c r="C173" s="251">
        <v>11462.88</v>
      </c>
      <c r="D173" s="206"/>
      <c r="E173" s="214"/>
      <c r="F173" s="251">
        <v>45509</v>
      </c>
      <c r="G173" s="226"/>
      <c r="H173" s="214"/>
      <c r="I173" s="1">
        <f t="shared" si="4"/>
        <v>-34046.120000000003</v>
      </c>
      <c r="J173" s="1">
        <f t="shared" si="4"/>
        <v>0</v>
      </c>
      <c r="K173" s="1">
        <f t="shared" si="3"/>
        <v>0</v>
      </c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</row>
    <row r="174" spans="1:28">
      <c r="A174" s="212"/>
      <c r="B174" s="213" t="s">
        <v>609</v>
      </c>
      <c r="C174" s="251">
        <f>SUM(C151:C173)</f>
        <v>1104298.3600000001</v>
      </c>
      <c r="D174" s="235">
        <f>C174</f>
        <v>1104298.3600000001</v>
      </c>
      <c r="E174" s="214"/>
      <c r="F174" s="251">
        <f>SUM(F151:F173)</f>
        <v>1164897.2699999998</v>
      </c>
      <c r="G174" s="235">
        <f>F174</f>
        <v>1164897.2699999998</v>
      </c>
      <c r="H174" s="214"/>
      <c r="I174" s="1">
        <f t="shared" si="4"/>
        <v>-60598.909999999683</v>
      </c>
      <c r="J174" s="1">
        <f t="shared" si="4"/>
        <v>-60598.909999999683</v>
      </c>
      <c r="K174" s="1">
        <f t="shared" si="3"/>
        <v>0</v>
      </c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</row>
    <row r="175" spans="1:28">
      <c r="A175" s="212"/>
      <c r="B175" s="213"/>
      <c r="C175" s="241" t="s">
        <v>374</v>
      </c>
      <c r="D175" s="206"/>
      <c r="E175" s="214"/>
      <c r="F175" s="241"/>
      <c r="G175" s="206"/>
      <c r="H175" s="214"/>
      <c r="I175" s="1"/>
      <c r="J175" s="1">
        <f t="shared" si="4"/>
        <v>0</v>
      </c>
      <c r="K175" s="1">
        <f t="shared" si="3"/>
        <v>0</v>
      </c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</row>
    <row r="176" spans="1:28">
      <c r="A176" s="212">
        <v>6010</v>
      </c>
      <c r="B176" s="213" t="s">
        <v>247</v>
      </c>
      <c r="C176" s="252">
        <v>123758.82</v>
      </c>
      <c r="D176" s="236"/>
      <c r="E176" s="214"/>
      <c r="F176" s="252">
        <v>44843</v>
      </c>
      <c r="G176" s="236"/>
      <c r="H176" s="214"/>
      <c r="I176" s="1">
        <f t="shared" si="4"/>
        <v>78915.820000000007</v>
      </c>
      <c r="J176" s="1">
        <f t="shared" si="4"/>
        <v>0</v>
      </c>
      <c r="K176" s="1">
        <f t="shared" si="3"/>
        <v>0</v>
      </c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</row>
    <row r="177" spans="1:28">
      <c r="A177" s="212">
        <v>6015</v>
      </c>
      <c r="B177" s="213" t="s">
        <v>837</v>
      </c>
      <c r="C177" s="252">
        <v>20703</v>
      </c>
      <c r="D177" s="236">
        <f>SUM(C176:C177)</f>
        <v>144461.82</v>
      </c>
      <c r="E177" s="214"/>
      <c r="F177" s="252">
        <v>20703</v>
      </c>
      <c r="G177" s="236">
        <f>SUM(F176:F177)</f>
        <v>65546</v>
      </c>
      <c r="H177" s="214"/>
      <c r="I177" s="1">
        <f t="shared" si="4"/>
        <v>0</v>
      </c>
      <c r="J177" s="1">
        <f t="shared" si="4"/>
        <v>78915.820000000007</v>
      </c>
      <c r="K177" s="1">
        <f t="shared" si="3"/>
        <v>0</v>
      </c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:28">
      <c r="A178" s="212">
        <v>6100</v>
      </c>
      <c r="B178" s="213" t="s">
        <v>838</v>
      </c>
      <c r="C178" s="246">
        <v>0</v>
      </c>
      <c r="D178" s="230"/>
      <c r="E178" s="214"/>
      <c r="F178" s="246">
        <v>0</v>
      </c>
      <c r="G178" s="230"/>
      <c r="H178" s="214"/>
      <c r="I178" s="1">
        <f t="shared" si="4"/>
        <v>0</v>
      </c>
      <c r="J178" s="1">
        <f t="shared" si="4"/>
        <v>0</v>
      </c>
      <c r="K178" s="1">
        <f t="shared" si="3"/>
        <v>0</v>
      </c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:28">
      <c r="A179" s="212">
        <v>6110</v>
      </c>
      <c r="B179" s="213" t="s">
        <v>610</v>
      </c>
      <c r="C179" s="246">
        <v>2122</v>
      </c>
      <c r="D179" s="206"/>
      <c r="E179" s="214"/>
      <c r="F179" s="246">
        <v>0</v>
      </c>
      <c r="G179" s="206"/>
      <c r="H179" s="214"/>
      <c r="I179" s="1">
        <f t="shared" si="4"/>
        <v>2122</v>
      </c>
      <c r="J179" s="1">
        <f t="shared" si="4"/>
        <v>0</v>
      </c>
      <c r="K179" s="1">
        <f t="shared" si="3"/>
        <v>0</v>
      </c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:28" ht="14.4">
      <c r="A180" s="215">
        <v>6300</v>
      </c>
      <c r="B180" s="216" t="s">
        <v>773</v>
      </c>
      <c r="C180" s="246">
        <v>51216.639999999999</v>
      </c>
      <c r="D180" s="206"/>
      <c r="E180" s="214"/>
      <c r="F180" s="246">
        <v>34230</v>
      </c>
      <c r="G180" s="206"/>
      <c r="H180" s="214"/>
      <c r="I180" s="1">
        <f t="shared" si="4"/>
        <v>16986.64</v>
      </c>
      <c r="J180" s="1">
        <f t="shared" si="4"/>
        <v>0</v>
      </c>
      <c r="K180" s="1">
        <f t="shared" si="3"/>
        <v>0</v>
      </c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:28">
      <c r="A181" s="212">
        <v>6320</v>
      </c>
      <c r="B181" s="213" t="s">
        <v>611</v>
      </c>
      <c r="C181" s="246">
        <v>34919.5</v>
      </c>
      <c r="D181" s="206"/>
      <c r="E181" s="214"/>
      <c r="F181" s="246">
        <v>48159.82</v>
      </c>
      <c r="G181" s="206"/>
      <c r="H181" s="214"/>
      <c r="I181" s="1">
        <f t="shared" si="4"/>
        <v>-13240.32</v>
      </c>
      <c r="J181" s="1">
        <f t="shared" si="4"/>
        <v>0</v>
      </c>
      <c r="K181" s="1">
        <f t="shared" si="3"/>
        <v>0</v>
      </c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:28">
      <c r="A182" s="212">
        <v>6340</v>
      </c>
      <c r="B182" s="213" t="s">
        <v>253</v>
      </c>
      <c r="C182" s="246">
        <v>-1245.2</v>
      </c>
      <c r="D182" s="206"/>
      <c r="E182" s="214"/>
      <c r="F182" s="246">
        <v>29398.15</v>
      </c>
      <c r="G182" s="206"/>
      <c r="H182" s="214"/>
      <c r="I182" s="1">
        <f t="shared" si="4"/>
        <v>-30643.350000000002</v>
      </c>
      <c r="J182" s="1">
        <f t="shared" si="4"/>
        <v>0</v>
      </c>
      <c r="K182" s="1">
        <f t="shared" si="3"/>
        <v>0</v>
      </c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:28">
      <c r="A183" s="212">
        <v>6360</v>
      </c>
      <c r="B183" s="213" t="s">
        <v>255</v>
      </c>
      <c r="C183" s="246">
        <v>2693.75</v>
      </c>
      <c r="D183" s="206"/>
      <c r="E183" s="214"/>
      <c r="F183" s="246">
        <v>0</v>
      </c>
      <c r="G183" s="206"/>
      <c r="H183" s="214"/>
      <c r="I183" s="1">
        <f t="shared" si="4"/>
        <v>2693.75</v>
      </c>
      <c r="J183" s="1">
        <f t="shared" si="4"/>
        <v>0</v>
      </c>
      <c r="K183" s="1">
        <f t="shared" si="3"/>
        <v>0</v>
      </c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:28">
      <c r="A184" s="212">
        <v>6390</v>
      </c>
      <c r="B184" s="213" t="s">
        <v>612</v>
      </c>
      <c r="C184" s="246">
        <v>0</v>
      </c>
      <c r="D184" s="206"/>
      <c r="E184" s="214"/>
      <c r="F184" s="246">
        <v>0</v>
      </c>
      <c r="G184" s="206"/>
      <c r="H184" s="214"/>
      <c r="I184" s="1">
        <f t="shared" si="4"/>
        <v>0</v>
      </c>
      <c r="J184" s="1">
        <f t="shared" si="4"/>
        <v>0</v>
      </c>
      <c r="K184" s="1">
        <f t="shared" si="3"/>
        <v>0</v>
      </c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:28">
      <c r="A185" s="212">
        <v>6420</v>
      </c>
      <c r="B185" s="213" t="s">
        <v>614</v>
      </c>
      <c r="C185" s="246">
        <v>0</v>
      </c>
      <c r="D185" s="206"/>
      <c r="E185" s="214"/>
      <c r="F185" s="246">
        <v>600</v>
      </c>
      <c r="G185" s="206"/>
      <c r="H185" s="214"/>
      <c r="I185" s="1">
        <f t="shared" si="4"/>
        <v>-600</v>
      </c>
      <c r="J185" s="1">
        <f t="shared" si="4"/>
        <v>0</v>
      </c>
      <c r="K185" s="1">
        <f t="shared" si="3"/>
        <v>0</v>
      </c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:28" ht="14.4">
      <c r="A186" s="215">
        <v>6440</v>
      </c>
      <c r="B186" s="216" t="s">
        <v>774</v>
      </c>
      <c r="C186" s="246">
        <v>65758.11</v>
      </c>
      <c r="D186" s="206"/>
      <c r="E186" s="214"/>
      <c r="F186" s="246">
        <v>68200.37</v>
      </c>
      <c r="G186" s="206"/>
      <c r="H186" s="214"/>
      <c r="I186" s="1">
        <f t="shared" si="4"/>
        <v>-2442.2599999999948</v>
      </c>
      <c r="J186" s="1">
        <f t="shared" si="4"/>
        <v>0</v>
      </c>
      <c r="K186" s="1">
        <f t="shared" si="3"/>
        <v>0</v>
      </c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:28" ht="14.4">
      <c r="A187" s="215">
        <v>6490</v>
      </c>
      <c r="B187" s="216" t="s">
        <v>775</v>
      </c>
      <c r="C187" s="246">
        <v>6435</v>
      </c>
      <c r="D187" s="206"/>
      <c r="E187" s="214"/>
      <c r="F187" s="246">
        <v>13130</v>
      </c>
      <c r="G187" s="206"/>
      <c r="H187" s="214"/>
      <c r="I187" s="1">
        <f t="shared" si="4"/>
        <v>-6695</v>
      </c>
      <c r="J187" s="1">
        <f t="shared" si="4"/>
        <v>0</v>
      </c>
      <c r="K187" s="1">
        <f t="shared" si="3"/>
        <v>0</v>
      </c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:28">
      <c r="A188" s="212">
        <v>6540</v>
      </c>
      <c r="B188" s="213" t="s">
        <v>14</v>
      </c>
      <c r="C188" s="246">
        <v>12093</v>
      </c>
      <c r="D188" s="206"/>
      <c r="E188" s="214"/>
      <c r="F188" s="246">
        <v>48199.71</v>
      </c>
      <c r="G188" s="206"/>
      <c r="H188" s="214"/>
      <c r="I188" s="1">
        <f t="shared" si="4"/>
        <v>-36106.71</v>
      </c>
      <c r="J188" s="1">
        <f t="shared" si="4"/>
        <v>0</v>
      </c>
      <c r="K188" s="1">
        <f t="shared" si="3"/>
        <v>0</v>
      </c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:28">
      <c r="A189" s="212">
        <v>6550</v>
      </c>
      <c r="B189" s="213" t="s">
        <v>616</v>
      </c>
      <c r="C189" s="246">
        <v>20276.400000000001</v>
      </c>
      <c r="D189" s="206"/>
      <c r="E189" s="214"/>
      <c r="F189" s="246">
        <v>51113.38</v>
      </c>
      <c r="G189" s="206"/>
      <c r="H189" s="214"/>
      <c r="I189" s="1">
        <f t="shared" si="4"/>
        <v>-30836.979999999996</v>
      </c>
      <c r="J189" s="1">
        <f t="shared" si="4"/>
        <v>0</v>
      </c>
      <c r="K189" s="1">
        <f t="shared" si="3"/>
        <v>0</v>
      </c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:28" ht="14.4">
      <c r="A190" s="215">
        <v>6570</v>
      </c>
      <c r="B190" s="216" t="s">
        <v>776</v>
      </c>
      <c r="C190" s="246">
        <v>8180.8</v>
      </c>
      <c r="D190" s="206"/>
      <c r="E190" s="214"/>
      <c r="F190" s="246">
        <v>0</v>
      </c>
      <c r="G190" s="206"/>
      <c r="H190" s="214"/>
      <c r="I190" s="1">
        <f t="shared" si="4"/>
        <v>8180.8</v>
      </c>
      <c r="J190" s="1">
        <f t="shared" si="4"/>
        <v>0</v>
      </c>
      <c r="K190" s="1">
        <f t="shared" si="3"/>
        <v>0</v>
      </c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:28" ht="14.4">
      <c r="A191" s="215">
        <v>6590</v>
      </c>
      <c r="B191" s="216" t="s">
        <v>777</v>
      </c>
      <c r="C191" s="246">
        <v>12000</v>
      </c>
      <c r="D191" s="206"/>
      <c r="E191" s="214"/>
      <c r="F191" s="246">
        <v>0</v>
      </c>
      <c r="G191" s="206"/>
      <c r="H191" s="214"/>
      <c r="I191" s="1">
        <f t="shared" si="4"/>
        <v>12000</v>
      </c>
      <c r="J191" s="1">
        <f t="shared" si="4"/>
        <v>0</v>
      </c>
      <c r="K191" s="1">
        <f t="shared" si="3"/>
        <v>0</v>
      </c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:28" ht="14.4">
      <c r="A192" s="215">
        <v>6600</v>
      </c>
      <c r="B192" s="216" t="s">
        <v>617</v>
      </c>
      <c r="C192" s="246">
        <v>4820</v>
      </c>
      <c r="D192" s="206"/>
      <c r="E192" s="214"/>
      <c r="F192" s="246">
        <v>42977.84</v>
      </c>
      <c r="G192" s="206"/>
      <c r="H192" s="214"/>
      <c r="I192" s="1">
        <f t="shared" si="4"/>
        <v>-38157.839999999997</v>
      </c>
      <c r="J192" s="1">
        <f t="shared" si="4"/>
        <v>0</v>
      </c>
      <c r="K192" s="1">
        <f t="shared" si="3"/>
        <v>0</v>
      </c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193" spans="1:28">
      <c r="A193" s="212">
        <v>6620</v>
      </c>
      <c r="B193" s="213" t="s">
        <v>618</v>
      </c>
      <c r="C193" s="246">
        <v>8901.64</v>
      </c>
      <c r="D193" s="206"/>
      <c r="E193" s="214"/>
      <c r="F193" s="246">
        <v>87088.1</v>
      </c>
      <c r="G193" s="206"/>
      <c r="H193" s="214"/>
      <c r="I193" s="1">
        <f t="shared" si="4"/>
        <v>-78186.460000000006</v>
      </c>
      <c r="J193" s="1">
        <f t="shared" si="4"/>
        <v>0</v>
      </c>
      <c r="K193" s="1">
        <f t="shared" si="3"/>
        <v>0</v>
      </c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</row>
    <row r="194" spans="1:28">
      <c r="A194" s="212">
        <v>6700</v>
      </c>
      <c r="B194" s="213" t="s">
        <v>619</v>
      </c>
      <c r="C194" s="246">
        <v>50912.5</v>
      </c>
      <c r="D194" s="206"/>
      <c r="E194" s="214"/>
      <c r="F194" s="246">
        <v>78062.5</v>
      </c>
      <c r="G194" s="206"/>
      <c r="H194" s="214"/>
      <c r="I194" s="1">
        <f t="shared" si="4"/>
        <v>-27150</v>
      </c>
      <c r="J194" s="1">
        <f t="shared" si="4"/>
        <v>0</v>
      </c>
      <c r="K194" s="1">
        <f t="shared" si="3"/>
        <v>0</v>
      </c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</row>
    <row r="195" spans="1:28">
      <c r="A195" s="212">
        <v>6712</v>
      </c>
      <c r="B195" s="213" t="s">
        <v>620</v>
      </c>
      <c r="C195" s="246">
        <v>489488</v>
      </c>
      <c r="D195" s="206"/>
      <c r="E195" s="214"/>
      <c r="F195" s="246">
        <v>471401</v>
      </c>
      <c r="G195" s="206"/>
      <c r="H195" s="214"/>
      <c r="I195" s="1">
        <f t="shared" si="4"/>
        <v>18087</v>
      </c>
      <c r="J195" s="1">
        <f t="shared" si="4"/>
        <v>0</v>
      </c>
      <c r="K195" s="1">
        <f t="shared" si="4"/>
        <v>0</v>
      </c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</row>
    <row r="196" spans="1:28">
      <c r="A196" s="212">
        <v>6730</v>
      </c>
      <c r="B196" s="213" t="s">
        <v>279</v>
      </c>
      <c r="C196" s="246">
        <v>89868.81</v>
      </c>
      <c r="D196" s="206"/>
      <c r="E196" s="214"/>
      <c r="F196" s="246">
        <v>99248.3</v>
      </c>
      <c r="G196" s="206"/>
      <c r="H196" s="214"/>
      <c r="I196" s="1">
        <f t="shared" si="4"/>
        <v>-9379.4900000000052</v>
      </c>
      <c r="J196" s="1">
        <f t="shared" si="4"/>
        <v>0</v>
      </c>
      <c r="K196" s="1">
        <f t="shared" si="4"/>
        <v>0</v>
      </c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</row>
    <row r="197" spans="1:28">
      <c r="A197" s="212">
        <v>6790</v>
      </c>
      <c r="B197" s="213" t="s">
        <v>621</v>
      </c>
      <c r="C197" s="246">
        <v>9650</v>
      </c>
      <c r="D197" s="206"/>
      <c r="E197" s="214"/>
      <c r="F197" s="246">
        <v>0</v>
      </c>
      <c r="G197" s="206"/>
      <c r="H197" s="214"/>
      <c r="I197" s="1">
        <f t="shared" si="4"/>
        <v>9650</v>
      </c>
      <c r="J197" s="1">
        <f t="shared" si="4"/>
        <v>0</v>
      </c>
      <c r="K197" s="1">
        <f t="shared" si="4"/>
        <v>0</v>
      </c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</row>
    <row r="198" spans="1:28">
      <c r="A198" s="212">
        <v>6800</v>
      </c>
      <c r="B198" s="213" t="s">
        <v>287</v>
      </c>
      <c r="C198" s="246">
        <v>2280</v>
      </c>
      <c r="D198" s="206"/>
      <c r="E198" s="214"/>
      <c r="F198" s="246">
        <v>2247.9</v>
      </c>
      <c r="G198" s="206"/>
      <c r="H198" s="214"/>
      <c r="I198" s="1">
        <f t="shared" si="4"/>
        <v>32.099999999999909</v>
      </c>
      <c r="J198" s="1">
        <f t="shared" si="4"/>
        <v>0</v>
      </c>
      <c r="K198" s="1">
        <f t="shared" si="4"/>
        <v>0</v>
      </c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</row>
    <row r="199" spans="1:28">
      <c r="A199" s="212">
        <v>6810</v>
      </c>
      <c r="B199" s="213" t="s">
        <v>622</v>
      </c>
      <c r="C199" s="246">
        <v>600</v>
      </c>
      <c r="D199" s="206"/>
      <c r="E199" s="214"/>
      <c r="F199" s="246">
        <v>4974</v>
      </c>
      <c r="G199" s="206"/>
      <c r="H199" s="214"/>
      <c r="I199" s="1">
        <f t="shared" si="4"/>
        <v>-4374</v>
      </c>
      <c r="J199" s="1">
        <f t="shared" si="4"/>
        <v>0</v>
      </c>
      <c r="K199" s="1">
        <f t="shared" si="4"/>
        <v>0</v>
      </c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</row>
    <row r="200" spans="1:28">
      <c r="A200" s="212">
        <v>6811</v>
      </c>
      <c r="B200" s="213" t="s">
        <v>623</v>
      </c>
      <c r="C200" s="246">
        <v>51286.33</v>
      </c>
      <c r="D200" s="206"/>
      <c r="E200" s="214"/>
      <c r="F200" s="246">
        <v>64593.64</v>
      </c>
      <c r="G200" s="206"/>
      <c r="H200" s="214"/>
      <c r="I200" s="1">
        <f t="shared" si="4"/>
        <v>-13307.309999999998</v>
      </c>
      <c r="J200" s="1">
        <f t="shared" si="4"/>
        <v>0</v>
      </c>
      <c r="K200" s="1">
        <f t="shared" si="4"/>
        <v>0</v>
      </c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</row>
    <row r="201" spans="1:28">
      <c r="A201" s="212">
        <v>6820</v>
      </c>
      <c r="B201" s="213" t="s">
        <v>624</v>
      </c>
      <c r="C201" s="246">
        <v>11984.5</v>
      </c>
      <c r="D201" s="206"/>
      <c r="E201" s="214"/>
      <c r="F201" s="246">
        <v>23641.1</v>
      </c>
      <c r="G201" s="206"/>
      <c r="H201" s="214"/>
      <c r="I201" s="1">
        <f t="shared" si="4"/>
        <v>-11656.599999999999</v>
      </c>
      <c r="J201" s="1">
        <f t="shared" si="4"/>
        <v>0</v>
      </c>
      <c r="K201" s="1">
        <f t="shared" si="4"/>
        <v>0</v>
      </c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</row>
    <row r="202" spans="1:28">
      <c r="A202" s="212">
        <v>6840</v>
      </c>
      <c r="B202" s="213" t="s">
        <v>625</v>
      </c>
      <c r="C202" s="246">
        <v>1629</v>
      </c>
      <c r="D202" s="206"/>
      <c r="E202" s="214"/>
      <c r="F202" s="246">
        <v>500</v>
      </c>
      <c r="G202" s="206"/>
      <c r="H202" s="214"/>
      <c r="I202" s="1">
        <f t="shared" ref="I202:K243" si="5">C202-F202</f>
        <v>1129</v>
      </c>
      <c r="J202" s="1">
        <f t="shared" si="5"/>
        <v>0</v>
      </c>
      <c r="K202" s="1">
        <f t="shared" si="5"/>
        <v>0</v>
      </c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</row>
    <row r="203" spans="1:28">
      <c r="A203" s="212">
        <v>6860</v>
      </c>
      <c r="B203" s="213" t="s">
        <v>626</v>
      </c>
      <c r="C203" s="246">
        <v>23585</v>
      </c>
      <c r="D203" s="206"/>
      <c r="E203" s="214"/>
      <c r="F203" s="246">
        <v>102994</v>
      </c>
      <c r="G203" s="206"/>
      <c r="H203" s="214"/>
      <c r="I203" s="1">
        <f t="shared" si="5"/>
        <v>-79409</v>
      </c>
      <c r="J203" s="1">
        <f t="shared" si="5"/>
        <v>0</v>
      </c>
      <c r="K203" s="1">
        <f t="shared" si="5"/>
        <v>0</v>
      </c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</row>
    <row r="204" spans="1:28">
      <c r="A204" s="212">
        <v>6900</v>
      </c>
      <c r="B204" s="213" t="s">
        <v>297</v>
      </c>
      <c r="C204" s="246">
        <v>6479.79</v>
      </c>
      <c r="D204" s="206"/>
      <c r="E204" s="214"/>
      <c r="F204" s="246">
        <v>3504.66</v>
      </c>
      <c r="G204" s="206"/>
      <c r="H204" s="214"/>
      <c r="I204" s="1">
        <f t="shared" si="5"/>
        <v>2975.13</v>
      </c>
      <c r="J204" s="1">
        <f t="shared" si="5"/>
        <v>0</v>
      </c>
      <c r="K204" s="1">
        <f t="shared" si="5"/>
        <v>0</v>
      </c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</row>
    <row r="205" spans="1:28">
      <c r="A205" s="212">
        <v>6940</v>
      </c>
      <c r="B205" s="213" t="s">
        <v>299</v>
      </c>
      <c r="C205" s="246">
        <v>120</v>
      </c>
      <c r="D205" s="206"/>
      <c r="E205" s="214"/>
      <c r="F205" s="246">
        <v>414</v>
      </c>
      <c r="G205" s="206"/>
      <c r="H205" s="214"/>
      <c r="I205" s="1">
        <f t="shared" si="5"/>
        <v>-294</v>
      </c>
      <c r="J205" s="1">
        <f t="shared" si="5"/>
        <v>0</v>
      </c>
      <c r="K205" s="1">
        <f t="shared" si="5"/>
        <v>0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</row>
    <row r="206" spans="1:28" ht="14.4">
      <c r="A206" s="215">
        <v>7000</v>
      </c>
      <c r="B206" s="216" t="s">
        <v>778</v>
      </c>
      <c r="C206" s="246">
        <v>0</v>
      </c>
      <c r="D206" s="206"/>
      <c r="E206" s="214"/>
      <c r="F206" s="246">
        <v>518.47</v>
      </c>
      <c r="G206" s="206"/>
      <c r="H206" s="214"/>
      <c r="I206" s="1">
        <f t="shared" si="5"/>
        <v>-518.47</v>
      </c>
      <c r="J206" s="1">
        <f t="shared" si="5"/>
        <v>0</v>
      </c>
      <c r="K206" s="1">
        <f t="shared" si="5"/>
        <v>0</v>
      </c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</row>
    <row r="207" spans="1:28">
      <c r="A207" s="212">
        <v>7100</v>
      </c>
      <c r="B207" s="213" t="s">
        <v>627</v>
      </c>
      <c r="C207" s="246">
        <v>50326.65</v>
      </c>
      <c r="D207" s="206"/>
      <c r="E207" s="214"/>
      <c r="F207" s="246">
        <v>43052.29</v>
      </c>
      <c r="G207" s="206"/>
      <c r="H207" s="214"/>
      <c r="I207" s="1">
        <f t="shared" si="5"/>
        <v>7274.3600000000006</v>
      </c>
      <c r="J207" s="1">
        <f t="shared" si="5"/>
        <v>0</v>
      </c>
      <c r="K207" s="1">
        <f t="shared" si="5"/>
        <v>0</v>
      </c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</row>
    <row r="208" spans="1:28" ht="14.4">
      <c r="A208" s="215">
        <v>7101</v>
      </c>
      <c r="B208" s="216" t="s">
        <v>779</v>
      </c>
      <c r="C208" s="246">
        <v>4488.7</v>
      </c>
      <c r="D208" s="206"/>
      <c r="E208" s="214"/>
      <c r="F208" s="253">
        <v>3238.5</v>
      </c>
      <c r="G208" s="206"/>
      <c r="H208" s="214"/>
      <c r="I208" s="1">
        <f t="shared" si="5"/>
        <v>1250.1999999999998</v>
      </c>
      <c r="J208" s="1">
        <f t="shared" si="5"/>
        <v>0</v>
      </c>
      <c r="K208" s="1">
        <f t="shared" si="5"/>
        <v>0</v>
      </c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</row>
    <row r="209" spans="1:28">
      <c r="A209" s="212">
        <v>7110</v>
      </c>
      <c r="B209" s="213" t="s">
        <v>309</v>
      </c>
      <c r="C209" s="246">
        <v>0</v>
      </c>
      <c r="D209" s="206"/>
      <c r="E209" s="214"/>
      <c r="F209" s="246">
        <v>0</v>
      </c>
      <c r="G209" s="206"/>
      <c r="H209" s="214" t="s">
        <v>374</v>
      </c>
      <c r="I209" s="1">
        <f t="shared" si="5"/>
        <v>0</v>
      </c>
      <c r="J209" s="1">
        <f t="shared" si="5"/>
        <v>0</v>
      </c>
      <c r="K209" s="1">
        <v>0</v>
      </c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</row>
    <row r="210" spans="1:28">
      <c r="A210" s="212">
        <v>7140</v>
      </c>
      <c r="B210" s="213" t="s">
        <v>709</v>
      </c>
      <c r="C210" s="246">
        <v>239802.96</v>
      </c>
      <c r="D210" s="206"/>
      <c r="E210" s="214"/>
      <c r="F210" s="246">
        <v>95208.77</v>
      </c>
      <c r="G210" s="206"/>
      <c r="H210" s="214"/>
      <c r="I210" s="1">
        <f t="shared" si="5"/>
        <v>144594.19</v>
      </c>
      <c r="J210" s="1">
        <f t="shared" si="5"/>
        <v>0</v>
      </c>
      <c r="K210" s="1">
        <f t="shared" si="5"/>
        <v>0</v>
      </c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</row>
    <row r="211" spans="1:28">
      <c r="A211" s="212">
        <v>7150</v>
      </c>
      <c r="B211" s="213" t="s">
        <v>710</v>
      </c>
      <c r="C211" s="246">
        <v>13533.2</v>
      </c>
      <c r="D211" s="206"/>
      <c r="E211" s="214"/>
      <c r="F211" s="246">
        <v>5519</v>
      </c>
      <c r="G211" s="206"/>
      <c r="H211" s="214"/>
      <c r="I211" s="1">
        <f t="shared" si="5"/>
        <v>8014.2000000000007</v>
      </c>
      <c r="J211" s="1">
        <f t="shared" si="5"/>
        <v>0</v>
      </c>
      <c r="K211" s="1">
        <f t="shared" si="5"/>
        <v>0</v>
      </c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</row>
    <row r="212" spans="1:28">
      <c r="A212" s="212">
        <v>7155</v>
      </c>
      <c r="B212" s="213" t="s">
        <v>869</v>
      </c>
      <c r="C212" s="246">
        <v>8847.6</v>
      </c>
      <c r="D212" s="206"/>
      <c r="E212" s="214"/>
      <c r="F212" s="246">
        <v>690</v>
      </c>
      <c r="G212" s="206"/>
      <c r="H212" s="214"/>
      <c r="I212" s="1">
        <f t="shared" si="5"/>
        <v>8157.6</v>
      </c>
      <c r="J212" s="1">
        <f t="shared" si="5"/>
        <v>0</v>
      </c>
      <c r="K212" s="1">
        <f t="shared" si="5"/>
        <v>0</v>
      </c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</row>
    <row r="213" spans="1:28">
      <c r="A213" s="212">
        <v>7160</v>
      </c>
      <c r="B213" s="213" t="s">
        <v>311</v>
      </c>
      <c r="C213" s="246">
        <v>952</v>
      </c>
      <c r="D213" s="206"/>
      <c r="E213" s="214"/>
      <c r="F213" s="246">
        <v>0</v>
      </c>
      <c r="G213" s="206"/>
      <c r="H213" s="214"/>
      <c r="I213" s="1">
        <f t="shared" si="5"/>
        <v>952</v>
      </c>
      <c r="J213" s="1">
        <f t="shared" si="5"/>
        <v>0</v>
      </c>
      <c r="K213" s="1">
        <f t="shared" si="5"/>
        <v>0</v>
      </c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</row>
    <row r="214" spans="1:28">
      <c r="A214" s="212">
        <v>7170</v>
      </c>
      <c r="B214" s="213" t="s">
        <v>313</v>
      </c>
      <c r="C214" s="246">
        <v>0</v>
      </c>
      <c r="D214" s="206"/>
      <c r="E214" s="214"/>
      <c r="F214" s="246">
        <v>0</v>
      </c>
      <c r="G214" s="206"/>
      <c r="H214" s="214"/>
      <c r="I214" s="1">
        <f t="shared" si="5"/>
        <v>0</v>
      </c>
      <c r="J214" s="1">
        <f t="shared" si="5"/>
        <v>0</v>
      </c>
      <c r="K214" s="1">
        <f t="shared" si="5"/>
        <v>0</v>
      </c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</row>
    <row r="215" spans="1:28">
      <c r="A215" s="212">
        <v>7180</v>
      </c>
      <c r="B215" s="213" t="s">
        <v>315</v>
      </c>
      <c r="C215" s="246">
        <v>0</v>
      </c>
      <c r="D215" s="206"/>
      <c r="E215" s="214"/>
      <c r="F215" s="246">
        <v>0</v>
      </c>
      <c r="G215" s="206"/>
      <c r="H215" s="214"/>
      <c r="I215" s="1">
        <f t="shared" si="5"/>
        <v>0</v>
      </c>
      <c r="J215" s="1">
        <f t="shared" si="5"/>
        <v>0</v>
      </c>
      <c r="K215" s="1">
        <f t="shared" si="5"/>
        <v>0</v>
      </c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</row>
    <row r="216" spans="1:28">
      <c r="A216" s="212">
        <v>7300</v>
      </c>
      <c r="B216" s="213" t="s">
        <v>711</v>
      </c>
      <c r="C216" s="246">
        <v>0</v>
      </c>
      <c r="D216" s="206"/>
      <c r="E216" s="214"/>
      <c r="F216" s="246">
        <v>0</v>
      </c>
      <c r="G216" s="206"/>
      <c r="H216" s="214"/>
      <c r="I216" s="1">
        <f t="shared" si="5"/>
        <v>0</v>
      </c>
      <c r="J216" s="1">
        <f t="shared" si="5"/>
        <v>0</v>
      </c>
      <c r="K216" s="1">
        <f t="shared" si="5"/>
        <v>0</v>
      </c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</row>
    <row r="217" spans="1:28">
      <c r="A217" s="212">
        <v>7320</v>
      </c>
      <c r="B217" s="213" t="s">
        <v>629</v>
      </c>
      <c r="C217" s="246">
        <v>37904.89</v>
      </c>
      <c r="D217" s="206"/>
      <c r="E217" s="214"/>
      <c r="F217" s="246">
        <v>26439.08</v>
      </c>
      <c r="G217" s="206"/>
      <c r="H217" s="214"/>
      <c r="I217" s="1">
        <f t="shared" si="5"/>
        <v>11465.809999999998</v>
      </c>
      <c r="J217" s="1">
        <f t="shared" si="5"/>
        <v>0</v>
      </c>
      <c r="K217" s="1">
        <f t="shared" si="5"/>
        <v>0</v>
      </c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</row>
    <row r="218" spans="1:28">
      <c r="A218" s="212">
        <v>7400</v>
      </c>
      <c r="B218" s="213" t="s">
        <v>712</v>
      </c>
      <c r="C218" s="246">
        <v>0</v>
      </c>
      <c r="D218" s="206"/>
      <c r="E218" s="214"/>
      <c r="F218" s="246">
        <v>0</v>
      </c>
      <c r="G218" s="206"/>
      <c r="H218" s="214"/>
      <c r="I218" s="1">
        <f t="shared" si="5"/>
        <v>0</v>
      </c>
      <c r="J218" s="1">
        <f t="shared" si="5"/>
        <v>0</v>
      </c>
      <c r="K218" s="1">
        <f t="shared" si="5"/>
        <v>0</v>
      </c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</row>
    <row r="219" spans="1:28">
      <c r="A219" s="212">
        <v>7410</v>
      </c>
      <c r="B219" s="213" t="s">
        <v>323</v>
      </c>
      <c r="C219" s="246">
        <v>0</v>
      </c>
      <c r="D219" s="206"/>
      <c r="E219" s="214"/>
      <c r="F219" s="246">
        <v>0</v>
      </c>
      <c r="G219" s="206"/>
      <c r="H219" s="214"/>
      <c r="I219" s="1">
        <f t="shared" si="5"/>
        <v>0</v>
      </c>
      <c r="J219" s="1">
        <f t="shared" si="5"/>
        <v>0</v>
      </c>
      <c r="K219" s="1">
        <f t="shared" si="5"/>
        <v>0</v>
      </c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</row>
    <row r="220" spans="1:28">
      <c r="A220" s="212">
        <v>7420</v>
      </c>
      <c r="B220" s="213" t="s">
        <v>632</v>
      </c>
      <c r="C220" s="246">
        <v>2325</v>
      </c>
      <c r="D220" s="206"/>
      <c r="E220" s="214"/>
      <c r="F220" s="246">
        <v>270.39999999999998</v>
      </c>
      <c r="G220" s="206"/>
      <c r="H220" s="214"/>
      <c r="I220" s="1">
        <f t="shared" si="5"/>
        <v>2054.6</v>
      </c>
      <c r="J220" s="1">
        <f t="shared" si="5"/>
        <v>0</v>
      </c>
      <c r="K220" s="1">
        <f t="shared" si="5"/>
        <v>0</v>
      </c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</row>
    <row r="221" spans="1:28">
      <c r="A221" s="212">
        <v>7430</v>
      </c>
      <c r="B221" s="213" t="s">
        <v>633</v>
      </c>
      <c r="C221" s="246">
        <v>0</v>
      </c>
      <c r="D221" s="206"/>
      <c r="E221" s="214"/>
      <c r="F221" s="246">
        <v>0</v>
      </c>
      <c r="G221" s="206"/>
      <c r="H221" s="214"/>
      <c r="I221" s="1">
        <f t="shared" si="5"/>
        <v>0</v>
      </c>
      <c r="J221" s="1">
        <f t="shared" si="5"/>
        <v>0</v>
      </c>
      <c r="K221" s="1">
        <f t="shared" si="5"/>
        <v>0</v>
      </c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</row>
    <row r="222" spans="1:28">
      <c r="A222" s="212">
        <v>7500</v>
      </c>
      <c r="B222" s="213" t="s">
        <v>634</v>
      </c>
      <c r="C222" s="246">
        <v>73215</v>
      </c>
      <c r="D222" s="206"/>
      <c r="E222" s="214"/>
      <c r="F222" s="246">
        <v>66071</v>
      </c>
      <c r="G222" s="206"/>
      <c r="H222" s="214"/>
      <c r="I222" s="1">
        <f t="shared" si="5"/>
        <v>7144</v>
      </c>
      <c r="J222" s="1">
        <f t="shared" si="5"/>
        <v>0</v>
      </c>
      <c r="K222" s="1">
        <f t="shared" si="5"/>
        <v>0</v>
      </c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</row>
    <row r="223" spans="1:28">
      <c r="A223" s="212">
        <v>7510</v>
      </c>
      <c r="B223" s="213" t="s">
        <v>333</v>
      </c>
      <c r="C223" s="246">
        <v>66500</v>
      </c>
      <c r="D223" s="206"/>
      <c r="E223" s="214"/>
      <c r="F223" s="246">
        <v>64214</v>
      </c>
      <c r="G223" s="206"/>
      <c r="H223" s="214"/>
      <c r="I223" s="1">
        <f t="shared" si="5"/>
        <v>2286</v>
      </c>
      <c r="J223" s="1">
        <f t="shared" si="5"/>
        <v>0</v>
      </c>
      <c r="K223" s="1">
        <f t="shared" si="5"/>
        <v>0</v>
      </c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</row>
    <row r="224" spans="1:28">
      <c r="A224" s="212">
        <v>7700</v>
      </c>
      <c r="B224" s="213" t="s">
        <v>635</v>
      </c>
      <c r="C224" s="246">
        <v>53501.87</v>
      </c>
      <c r="D224" s="206"/>
      <c r="E224" s="214"/>
      <c r="F224" s="246">
        <v>37181.1</v>
      </c>
      <c r="G224" s="206"/>
      <c r="H224" s="214"/>
      <c r="I224" s="1">
        <f t="shared" si="5"/>
        <v>16320.770000000004</v>
      </c>
      <c r="J224" s="1">
        <f t="shared" si="5"/>
        <v>0</v>
      </c>
      <c r="K224" s="1">
        <f t="shared" si="5"/>
        <v>0</v>
      </c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</row>
    <row r="225" spans="1:28">
      <c r="A225" s="212">
        <v>7720</v>
      </c>
      <c r="B225" s="213" t="s">
        <v>335</v>
      </c>
      <c r="C225" s="246">
        <v>0</v>
      </c>
      <c r="D225" s="206"/>
      <c r="E225" s="214"/>
      <c r="F225" s="246">
        <v>0</v>
      </c>
      <c r="G225" s="206"/>
      <c r="H225" s="214"/>
      <c r="I225" s="1">
        <f t="shared" si="5"/>
        <v>0</v>
      </c>
      <c r="J225" s="1">
        <f t="shared" si="5"/>
        <v>0</v>
      </c>
      <c r="K225" s="1">
        <f t="shared" si="5"/>
        <v>0</v>
      </c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</row>
    <row r="226" spans="1:28">
      <c r="A226" s="212">
        <v>7740</v>
      </c>
      <c r="B226" s="213" t="s">
        <v>636</v>
      </c>
      <c r="C226" s="246">
        <v>-0.88</v>
      </c>
      <c r="D226" s="206"/>
      <c r="E226" s="214"/>
      <c r="F226" s="246">
        <v>-0.77</v>
      </c>
      <c r="G226" s="206"/>
      <c r="H226" s="214"/>
      <c r="I226" s="1">
        <f t="shared" si="5"/>
        <v>-0.10999999999999999</v>
      </c>
      <c r="J226" s="1">
        <f t="shared" si="5"/>
        <v>0</v>
      </c>
      <c r="K226" s="1">
        <f t="shared" si="5"/>
        <v>0</v>
      </c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</row>
    <row r="227" spans="1:28" ht="14.4">
      <c r="A227" s="215">
        <v>7750</v>
      </c>
      <c r="B227" s="216" t="s">
        <v>780</v>
      </c>
      <c r="C227" s="246">
        <v>0</v>
      </c>
      <c r="D227" s="206"/>
      <c r="E227" s="214"/>
      <c r="F227" s="246">
        <v>0</v>
      </c>
      <c r="G227" s="206"/>
      <c r="H227" s="214"/>
      <c r="I227" s="1">
        <f t="shared" si="5"/>
        <v>0</v>
      </c>
      <c r="J227" s="1">
        <f t="shared" si="5"/>
        <v>0</v>
      </c>
      <c r="K227" s="1">
        <f t="shared" si="5"/>
        <v>0</v>
      </c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</row>
    <row r="228" spans="1:28">
      <c r="A228" s="212">
        <v>7770</v>
      </c>
      <c r="B228" s="213" t="s">
        <v>637</v>
      </c>
      <c r="C228" s="246">
        <v>23405.53</v>
      </c>
      <c r="D228" s="206"/>
      <c r="E228" s="214"/>
      <c r="F228" s="246">
        <v>19660.66</v>
      </c>
      <c r="G228" s="206"/>
      <c r="H228" s="214"/>
      <c r="I228" s="1">
        <f t="shared" si="5"/>
        <v>3744.869999999999</v>
      </c>
      <c r="J228" s="1">
        <f t="shared" si="5"/>
        <v>0</v>
      </c>
      <c r="K228" s="1">
        <f t="shared" si="5"/>
        <v>0</v>
      </c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</row>
    <row r="229" spans="1:28">
      <c r="A229" s="212">
        <v>7790</v>
      </c>
      <c r="B229" s="213" t="s">
        <v>638</v>
      </c>
      <c r="C229" s="246">
        <v>3389.2</v>
      </c>
      <c r="D229" s="206"/>
      <c r="E229" s="214"/>
      <c r="F229" s="246">
        <v>2899.7</v>
      </c>
      <c r="G229" s="206"/>
      <c r="H229" s="214"/>
      <c r="I229" s="1">
        <f t="shared" si="5"/>
        <v>489.5</v>
      </c>
      <c r="J229" s="1">
        <f t="shared" si="5"/>
        <v>0</v>
      </c>
      <c r="K229" s="1">
        <f t="shared" si="5"/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</row>
    <row r="230" spans="1:28">
      <c r="A230" s="212">
        <v>7791</v>
      </c>
      <c r="B230" s="213" t="s">
        <v>839</v>
      </c>
      <c r="C230" s="246">
        <v>0</v>
      </c>
      <c r="D230" s="206"/>
      <c r="E230" s="214"/>
      <c r="F230" s="246">
        <v>0</v>
      </c>
      <c r="G230" s="206"/>
      <c r="H230" s="214"/>
      <c r="I230" s="1">
        <f t="shared" si="5"/>
        <v>0</v>
      </c>
      <c r="J230" s="1">
        <f t="shared" si="5"/>
        <v>0</v>
      </c>
      <c r="K230" s="1">
        <f t="shared" si="5"/>
        <v>0</v>
      </c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</row>
    <row r="231" spans="1:28">
      <c r="A231" s="212">
        <v>7792</v>
      </c>
      <c r="B231" s="213" t="s">
        <v>343</v>
      </c>
      <c r="C231" s="246">
        <v>0</v>
      </c>
      <c r="D231" s="206"/>
      <c r="E231" s="214"/>
      <c r="F231" s="246">
        <v>0</v>
      </c>
      <c r="G231" s="206"/>
      <c r="H231" s="214"/>
      <c r="I231" s="1">
        <f t="shared" si="5"/>
        <v>0</v>
      </c>
      <c r="J231" s="1">
        <f t="shared" si="5"/>
        <v>0</v>
      </c>
      <c r="K231" s="1">
        <f t="shared" si="5"/>
        <v>0</v>
      </c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</row>
    <row r="232" spans="1:28">
      <c r="A232" s="212">
        <v>7830</v>
      </c>
      <c r="B232" s="213" t="s">
        <v>639</v>
      </c>
      <c r="C232" s="246">
        <v>35516.699999999997</v>
      </c>
      <c r="D232" s="206"/>
      <c r="E232" s="214"/>
      <c r="F232" s="246">
        <v>15412.5</v>
      </c>
      <c r="G232" s="206"/>
      <c r="H232" s="214"/>
      <c r="I232" s="1">
        <f t="shared" si="5"/>
        <v>20104.199999999997</v>
      </c>
      <c r="J232" s="1">
        <f t="shared" si="5"/>
        <v>0</v>
      </c>
      <c r="K232" s="1">
        <f t="shared" si="5"/>
        <v>0</v>
      </c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</row>
    <row r="233" spans="1:28">
      <c r="A233" s="212">
        <v>7831</v>
      </c>
      <c r="B233" s="218" t="s">
        <v>713</v>
      </c>
      <c r="C233" s="246">
        <v>-23995</v>
      </c>
      <c r="D233" s="206"/>
      <c r="E233" s="214"/>
      <c r="F233" s="246">
        <v>-22439.5</v>
      </c>
      <c r="G233" s="206"/>
      <c r="H233" s="214"/>
      <c r="I233" s="1">
        <f t="shared" si="5"/>
        <v>-1555.5</v>
      </c>
      <c r="J233" s="1">
        <f t="shared" si="5"/>
        <v>0</v>
      </c>
      <c r="K233" s="1">
        <f t="shared" si="5"/>
        <v>0</v>
      </c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</row>
    <row r="234" spans="1:28">
      <c r="A234" s="223" t="s">
        <v>374</v>
      </c>
      <c r="B234" s="213" t="s">
        <v>655</v>
      </c>
      <c r="C234" s="246">
        <f>SUM(C178:C233)</f>
        <v>1555768.99</v>
      </c>
      <c r="D234" s="230">
        <f>C234</f>
        <v>1555768.99</v>
      </c>
      <c r="E234" s="214"/>
      <c r="F234" s="246">
        <f>SUM(F178:F233)</f>
        <v>1632613.6699999997</v>
      </c>
      <c r="G234" s="230">
        <f>F234</f>
        <v>1632613.6699999997</v>
      </c>
      <c r="H234" s="214"/>
      <c r="I234" s="1">
        <f t="shared" si="5"/>
        <v>-76844.679999999702</v>
      </c>
      <c r="J234" s="1">
        <f t="shared" si="5"/>
        <v>-76844.679999999702</v>
      </c>
      <c r="K234" s="1">
        <f t="shared" si="5"/>
        <v>0</v>
      </c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</row>
    <row r="235" spans="1:28">
      <c r="A235" s="212"/>
      <c r="B235" s="213"/>
      <c r="C235" s="241" t="s">
        <v>374</v>
      </c>
      <c r="D235" s="206"/>
      <c r="E235" s="214"/>
      <c r="F235" s="241"/>
      <c r="G235" s="206"/>
      <c r="H235" s="214"/>
      <c r="I235" s="1"/>
      <c r="J235" s="1">
        <f t="shared" si="5"/>
        <v>0</v>
      </c>
      <c r="K235" s="1">
        <f t="shared" si="5"/>
        <v>0</v>
      </c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</row>
    <row r="236" spans="1:28">
      <c r="A236" s="212">
        <v>8050</v>
      </c>
      <c r="B236" s="213" t="s">
        <v>640</v>
      </c>
      <c r="C236" s="250">
        <v>-5261.47</v>
      </c>
      <c r="D236" s="206"/>
      <c r="E236" s="214"/>
      <c r="F236" s="250">
        <v>-2992</v>
      </c>
      <c r="G236" s="206"/>
      <c r="H236" s="214"/>
      <c r="I236" s="1">
        <f t="shared" si="5"/>
        <v>-2269.4700000000003</v>
      </c>
      <c r="J236" s="1">
        <f t="shared" si="5"/>
        <v>0</v>
      </c>
      <c r="K236" s="1">
        <f t="shared" si="5"/>
        <v>0</v>
      </c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</row>
    <row r="237" spans="1:28" ht="14.4">
      <c r="A237" s="215">
        <v>8060</v>
      </c>
      <c r="B237" s="216" t="s">
        <v>781</v>
      </c>
      <c r="C237" s="250">
        <v>0</v>
      </c>
      <c r="D237" s="234">
        <f>SUM(C236:C239)</f>
        <v>-14596.470000000001</v>
      </c>
      <c r="E237" s="214"/>
      <c r="F237" s="250">
        <v>-603.72</v>
      </c>
      <c r="G237" s="234">
        <f>SUM(F236:F239)</f>
        <v>-12967.510000000002</v>
      </c>
      <c r="H237" s="214"/>
      <c r="I237" s="1">
        <f t="shared" si="5"/>
        <v>603.72</v>
      </c>
      <c r="J237" s="1">
        <f t="shared" si="5"/>
        <v>-1628.9599999999991</v>
      </c>
      <c r="K237" s="1">
        <f t="shared" si="5"/>
        <v>0</v>
      </c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</row>
    <row r="238" spans="1:28" ht="14.4">
      <c r="A238" s="215">
        <v>8071</v>
      </c>
      <c r="B238" s="216" t="s">
        <v>389</v>
      </c>
      <c r="C238" s="250">
        <v>-9335</v>
      </c>
      <c r="D238" s="234"/>
      <c r="E238" s="214"/>
      <c r="F238" s="250">
        <v>-9292</v>
      </c>
      <c r="G238" s="234"/>
      <c r="H238" s="214"/>
      <c r="I238" s="1">
        <f t="shared" si="5"/>
        <v>-43</v>
      </c>
      <c r="J238" s="1">
        <f t="shared" si="5"/>
        <v>0</v>
      </c>
      <c r="K238" s="1">
        <f t="shared" si="5"/>
        <v>0</v>
      </c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</row>
    <row r="239" spans="1:28" ht="14.4">
      <c r="A239" s="215">
        <v>8078</v>
      </c>
      <c r="B239" s="216" t="s">
        <v>870</v>
      </c>
      <c r="C239" s="250">
        <v>0</v>
      </c>
      <c r="D239" s="234"/>
      <c r="E239" s="214"/>
      <c r="F239" s="250">
        <v>-79.790000000000006</v>
      </c>
      <c r="G239" s="234"/>
      <c r="H239" s="214"/>
      <c r="I239" s="1">
        <f t="shared" si="5"/>
        <v>79.790000000000006</v>
      </c>
      <c r="J239" s="1">
        <f t="shared" si="5"/>
        <v>0</v>
      </c>
      <c r="K239" s="1">
        <f t="shared" si="5"/>
        <v>0</v>
      </c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</row>
    <row r="240" spans="1:28" ht="14.4">
      <c r="A240" s="215">
        <v>8150</v>
      </c>
      <c r="B240" s="216" t="s">
        <v>782</v>
      </c>
      <c r="C240" s="254">
        <v>10.49</v>
      </c>
      <c r="D240" s="206"/>
      <c r="E240" s="214"/>
      <c r="F240" s="254">
        <v>0</v>
      </c>
      <c r="G240" s="232"/>
      <c r="H240" s="214"/>
      <c r="I240" s="1">
        <f t="shared" si="5"/>
        <v>10.49</v>
      </c>
      <c r="J240" s="1">
        <f t="shared" si="5"/>
        <v>0</v>
      </c>
      <c r="K240" s="1">
        <f t="shared" si="5"/>
        <v>0</v>
      </c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</row>
    <row r="241" spans="1:28" ht="14.4">
      <c r="A241" s="215">
        <v>8153</v>
      </c>
      <c r="B241" s="213" t="s">
        <v>641</v>
      </c>
      <c r="C241" s="254">
        <v>953.15</v>
      </c>
      <c r="D241" s="206"/>
      <c r="E241" s="214"/>
      <c r="F241" s="254">
        <v>886.76</v>
      </c>
      <c r="G241" s="232"/>
      <c r="H241" s="214"/>
      <c r="I241" s="1">
        <f t="shared" si="5"/>
        <v>66.389999999999986</v>
      </c>
      <c r="J241" s="1">
        <f t="shared" si="5"/>
        <v>0</v>
      </c>
      <c r="K241" s="1">
        <f t="shared" si="5"/>
        <v>0</v>
      </c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</row>
    <row r="242" spans="1:28">
      <c r="A242" s="212">
        <v>8160</v>
      </c>
      <c r="B242" s="213" t="s">
        <v>871</v>
      </c>
      <c r="C242" s="254">
        <v>1852.7</v>
      </c>
      <c r="D242" s="237">
        <f>SUM(C240:C242)</f>
        <v>2816.34</v>
      </c>
      <c r="E242" s="214">
        <f>SUM(D149:D242)</f>
        <v>7080891.290000001</v>
      </c>
      <c r="F242" s="254">
        <v>687.65</v>
      </c>
      <c r="G242" s="237">
        <f>SUM(F240:F242)</f>
        <v>1574.4099999999999</v>
      </c>
      <c r="H242" s="214">
        <f>SUM(G149:G242)</f>
        <v>6493800.0499999998</v>
      </c>
      <c r="I242" s="1">
        <f t="shared" si="5"/>
        <v>1165.0500000000002</v>
      </c>
      <c r="J242" s="1">
        <f t="shared" si="5"/>
        <v>1241.9300000000003</v>
      </c>
      <c r="K242" s="1">
        <f t="shared" si="5"/>
        <v>587091.24000000115</v>
      </c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</row>
    <row r="243" spans="1:28" ht="13.8" thickBot="1">
      <c r="A243" s="222" t="s">
        <v>374</v>
      </c>
      <c r="B243" s="219" t="s">
        <v>642</v>
      </c>
      <c r="C243" s="255">
        <f>SUM(C235:C242)</f>
        <v>-11780.130000000001</v>
      </c>
      <c r="D243" s="220"/>
      <c r="E243" s="221"/>
      <c r="F243" s="255">
        <f>SUM(F236:F242)</f>
        <v>-11393.100000000002</v>
      </c>
      <c r="G243" s="220"/>
      <c r="H243" s="221"/>
      <c r="I243" s="1">
        <f t="shared" si="5"/>
        <v>-387.02999999999884</v>
      </c>
      <c r="J243" s="1">
        <f t="shared" si="5"/>
        <v>0</v>
      </c>
      <c r="K243" s="1">
        <f t="shared" si="5"/>
        <v>0</v>
      </c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</row>
    <row r="244" spans="1:28">
      <c r="C244" s="23" t="s">
        <v>374</v>
      </c>
      <c r="D244" s="23" t="s">
        <v>790</v>
      </c>
      <c r="E244" s="23"/>
      <c r="F244" s="23"/>
      <c r="G244" s="23"/>
      <c r="H244" s="23"/>
      <c r="K244" s="1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</row>
    <row r="245" spans="1:28">
      <c r="C245" s="23" t="s">
        <v>374</v>
      </c>
      <c r="D245" s="23"/>
      <c r="E245" s="23"/>
      <c r="F245" s="23"/>
      <c r="G245" s="23"/>
      <c r="H245" s="23"/>
      <c r="K245" s="1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</row>
    <row r="246" spans="1:28">
      <c r="D246" s="23"/>
      <c r="E246" s="23"/>
      <c r="F246" s="23"/>
      <c r="G246" s="23"/>
      <c r="H246" s="23"/>
      <c r="K246" s="1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</row>
    <row r="247" spans="1:28">
      <c r="D247" s="23"/>
      <c r="E247" s="23"/>
      <c r="F247" s="23"/>
      <c r="G247" s="23"/>
      <c r="H247" s="23"/>
      <c r="K247" s="1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</row>
    <row r="248" spans="1:28">
      <c r="C248" s="23" t="s">
        <v>374</v>
      </c>
      <c r="F248" s="23"/>
      <c r="G248" s="23"/>
      <c r="H248" s="23"/>
      <c r="K248" s="1"/>
    </row>
    <row r="249" spans="1:28">
      <c r="F249" s="23"/>
      <c r="G249" s="23"/>
      <c r="H249" s="23"/>
      <c r="K249" s="1"/>
    </row>
    <row r="250" spans="1:28">
      <c r="F250" s="23"/>
      <c r="G250" s="23"/>
      <c r="H250" s="23"/>
      <c r="K250" s="1"/>
    </row>
    <row r="251" spans="1:28">
      <c r="F251" s="23"/>
      <c r="G251" s="23"/>
      <c r="H251" s="23"/>
      <c r="K251" s="1"/>
    </row>
    <row r="252" spans="1:28">
      <c r="F252" s="23"/>
      <c r="G252" s="23"/>
      <c r="H252" s="23"/>
      <c r="K252" s="1"/>
    </row>
    <row r="253" spans="1:28">
      <c r="F253" s="23"/>
      <c r="G253" s="23"/>
      <c r="H253" s="23"/>
      <c r="K253" s="1"/>
    </row>
    <row r="254" spans="1:28">
      <c r="F254" s="23"/>
      <c r="G254" s="23"/>
      <c r="H254" s="23"/>
      <c r="K254" s="1"/>
    </row>
    <row r="255" spans="1:28">
      <c r="F255" s="23"/>
      <c r="G255" s="23"/>
      <c r="H255" s="23"/>
      <c r="K255" s="1"/>
    </row>
    <row r="256" spans="1:28">
      <c r="F256" s="23"/>
      <c r="G256" s="23"/>
      <c r="H256" s="23"/>
      <c r="K256" s="1"/>
    </row>
    <row r="257" spans="6:11">
      <c r="F257" s="23"/>
      <c r="G257" s="23"/>
      <c r="H257" s="23"/>
      <c r="K257" s="1"/>
    </row>
    <row r="258" spans="6:11">
      <c r="F258" s="23"/>
      <c r="G258" s="23"/>
      <c r="H258" s="23"/>
      <c r="K258" s="1"/>
    </row>
    <row r="259" spans="6:11">
      <c r="F259" s="23"/>
      <c r="G259" s="23"/>
      <c r="H259" s="23"/>
      <c r="K259" s="1"/>
    </row>
    <row r="260" spans="6:11">
      <c r="F260" s="23"/>
      <c r="G260" s="23"/>
      <c r="H260" s="23"/>
      <c r="K260" s="1"/>
    </row>
    <row r="261" spans="6:11">
      <c r="F261" s="23"/>
      <c r="G261" s="23"/>
      <c r="H261" s="23"/>
      <c r="K261" s="1"/>
    </row>
    <row r="262" spans="6:11">
      <c r="F262" s="23"/>
      <c r="G262" s="23"/>
      <c r="H262" s="23"/>
      <c r="K262" s="1"/>
    </row>
    <row r="263" spans="6:11">
      <c r="F263" s="23"/>
      <c r="G263" s="23"/>
      <c r="H263" s="23"/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4A10-14BA-46B2-A15B-37E55DE50A49}">
  <dimension ref="A1:F95"/>
  <sheetViews>
    <sheetView topLeftCell="A58" workbookViewId="0">
      <selection activeCell="C63" sqref="C63"/>
    </sheetView>
  </sheetViews>
  <sheetFormatPr baseColWidth="10" defaultColWidth="11.5546875" defaultRowHeight="14.4"/>
  <cols>
    <col min="1" max="1" width="35.44140625" customWidth="1"/>
    <col min="2" max="2" width="8" style="3" customWidth="1"/>
    <col min="3" max="4" width="15.6640625" customWidth="1"/>
  </cols>
  <sheetData>
    <row r="1" spans="1:6" ht="23.4">
      <c r="A1" s="2" t="s">
        <v>902</v>
      </c>
    </row>
    <row r="2" spans="1:6" s="4" customFormat="1">
      <c r="A2" s="3"/>
      <c r="B2" s="3"/>
    </row>
    <row r="3" spans="1:6" s="4" customFormat="1">
      <c r="A3" s="3"/>
      <c r="B3" s="3"/>
    </row>
    <row r="4" spans="1:6" s="4" customFormat="1">
      <c r="A4" s="3"/>
      <c r="B4" s="3"/>
    </row>
    <row r="6" spans="1:6">
      <c r="B6" s="340" t="s">
        <v>376</v>
      </c>
      <c r="C6" s="375" t="s">
        <v>377</v>
      </c>
      <c r="D6" s="375"/>
    </row>
    <row r="7" spans="1:6">
      <c r="B7" s="340"/>
      <c r="C7" s="340">
        <v>2019</v>
      </c>
      <c r="D7" s="340">
        <v>2018</v>
      </c>
    </row>
    <row r="8" spans="1:6">
      <c r="A8" s="3" t="s">
        <v>379</v>
      </c>
      <c r="B8" s="340" t="s">
        <v>374</v>
      </c>
      <c r="C8" s="141"/>
      <c r="D8" s="141"/>
    </row>
    <row r="9" spans="1:6">
      <c r="A9" t="s">
        <v>423</v>
      </c>
      <c r="B9" s="340"/>
      <c r="C9" s="170">
        <f>'Saldobalanse 2019'!D111*-1</f>
        <v>975340</v>
      </c>
      <c r="D9" s="170">
        <f>'Saldobalanse 2019'!G111*-1</f>
        <v>1911750</v>
      </c>
    </row>
    <row r="10" spans="1:6">
      <c r="A10" t="s">
        <v>424</v>
      </c>
      <c r="B10" s="340"/>
      <c r="C10" s="170">
        <f>'Saldobalanse 2019'!D123*-1</f>
        <v>1922616.68</v>
      </c>
      <c r="D10" s="170">
        <f>'Saldobalanse 2019'!G123*-1</f>
        <v>1487385</v>
      </c>
    </row>
    <row r="11" spans="1:6">
      <c r="A11" t="s">
        <v>425</v>
      </c>
      <c r="B11" s="340"/>
      <c r="C11" s="170">
        <f>'Saldobalanse 2019'!D117*-1</f>
        <v>231442</v>
      </c>
      <c r="D11" s="170">
        <f>'Saldobalanse 2019'!G117*-1</f>
        <v>683150.6</v>
      </c>
    </row>
    <row r="12" spans="1:6">
      <c r="A12" t="s">
        <v>220</v>
      </c>
      <c r="B12" s="340"/>
      <c r="C12" s="171">
        <f>'Saldobalanse 2019'!D128*-1</f>
        <v>5193954.08</v>
      </c>
      <c r="D12" s="171">
        <f>'Saldobalanse 2019'!G128*-1</f>
        <v>3567591.11</v>
      </c>
    </row>
    <row r="13" spans="1:6">
      <c r="A13" s="3" t="s">
        <v>381</v>
      </c>
      <c r="B13" s="340"/>
      <c r="C13" s="172">
        <f>SUM(C9:C12)</f>
        <v>8323352.7599999998</v>
      </c>
      <c r="D13" s="172">
        <f>SUM(D9:D12)</f>
        <v>7649876.71</v>
      </c>
      <c r="F13" s="7"/>
    </row>
    <row r="14" spans="1:6">
      <c r="B14" s="340"/>
      <c r="C14" s="170"/>
      <c r="D14" s="170"/>
    </row>
    <row r="15" spans="1:6">
      <c r="A15" s="3" t="s">
        <v>382</v>
      </c>
      <c r="B15" s="340"/>
      <c r="C15" s="170"/>
      <c r="D15" s="170"/>
    </row>
    <row r="16" spans="1:6">
      <c r="A16" t="s">
        <v>383</v>
      </c>
      <c r="B16" s="340" t="s">
        <v>374</v>
      </c>
      <c r="C16" s="170">
        <f>'Saldobalanse 2019'!D149</f>
        <v>4288142.25</v>
      </c>
      <c r="D16" s="170">
        <f>'Saldobalanse 2019'!G149</f>
        <v>3642136.21</v>
      </c>
    </row>
    <row r="17" spans="1:5">
      <c r="A17" s="139" t="s">
        <v>247</v>
      </c>
      <c r="B17" s="140"/>
      <c r="C17" s="173">
        <f>'Saldobalanse 2019'!D177</f>
        <v>144461.82</v>
      </c>
      <c r="D17" s="173">
        <f>'Saldobalanse 2019'!G177</f>
        <v>65546</v>
      </c>
    </row>
    <row r="18" spans="1:5">
      <c r="A18" t="s">
        <v>384</v>
      </c>
      <c r="B18" s="340" t="s">
        <v>815</v>
      </c>
      <c r="C18" s="170">
        <f>'Saldobalanse 2019'!D174</f>
        <v>1104298.3600000001</v>
      </c>
      <c r="D18" s="170">
        <f>'Saldobalanse 2019'!G174</f>
        <v>1164897.2699999998</v>
      </c>
    </row>
    <row r="19" spans="1:5">
      <c r="A19" t="s">
        <v>385</v>
      </c>
      <c r="B19" s="340"/>
      <c r="C19" s="171">
        <f>'Saldobalanse 2019'!D234</f>
        <v>1555768.99</v>
      </c>
      <c r="D19" s="171">
        <f>'Saldobalanse 2019'!G234</f>
        <v>1632613.6699999997</v>
      </c>
    </row>
    <row r="20" spans="1:5">
      <c r="A20" s="3" t="s">
        <v>386</v>
      </c>
      <c r="B20" s="340"/>
      <c r="C20" s="172">
        <f>SUM(C16:C19)</f>
        <v>7092671.4200000009</v>
      </c>
      <c r="D20" s="172">
        <f>SUM(D16:D19)</f>
        <v>6505193.1499999994</v>
      </c>
    </row>
    <row r="21" spans="1:5">
      <c r="B21" s="340"/>
      <c r="C21" s="170"/>
      <c r="D21" s="170"/>
    </row>
    <row r="22" spans="1:5">
      <c r="A22" s="3" t="s">
        <v>387</v>
      </c>
      <c r="B22" s="340"/>
      <c r="C22" s="172">
        <f>C13-C20</f>
        <v>1230681.3399999989</v>
      </c>
      <c r="D22" s="172">
        <f>D13-D20</f>
        <v>1144683.5600000005</v>
      </c>
      <c r="E22" s="7"/>
    </row>
    <row r="23" spans="1:5">
      <c r="B23" s="340"/>
      <c r="C23" s="170"/>
      <c r="D23" s="170"/>
    </row>
    <row r="24" spans="1:5">
      <c r="A24" s="3" t="s">
        <v>388</v>
      </c>
      <c r="B24" s="340"/>
      <c r="C24" s="170"/>
      <c r="D24" s="170"/>
    </row>
    <row r="25" spans="1:5">
      <c r="A25" t="s">
        <v>389</v>
      </c>
      <c r="B25" s="340"/>
      <c r="C25" s="170">
        <f>'Saldobalanse 2019'!D237*-1</f>
        <v>14596.470000000001</v>
      </c>
      <c r="D25" s="170">
        <f>'Saldobalanse 2019'!G237*-1</f>
        <v>12967.510000000002</v>
      </c>
    </row>
    <row r="26" spans="1:5">
      <c r="A26" t="s">
        <v>390</v>
      </c>
      <c r="B26" s="340"/>
      <c r="C26" s="171">
        <f>'Saldobalanse 2019'!D242</f>
        <v>2816.34</v>
      </c>
      <c r="D26" s="171">
        <f>'Saldobalanse 2019'!G242</f>
        <v>1574.4099999999999</v>
      </c>
    </row>
    <row r="27" spans="1:5">
      <c r="A27" s="3" t="s">
        <v>391</v>
      </c>
      <c r="B27" s="340"/>
      <c r="C27" s="172">
        <f>C25-C26</f>
        <v>11780.130000000001</v>
      </c>
      <c r="D27" s="172">
        <f>D25-D26</f>
        <v>11393.100000000002</v>
      </c>
    </row>
    <row r="28" spans="1:5">
      <c r="A28" s="3"/>
      <c r="B28" s="340"/>
      <c r="C28" s="172"/>
      <c r="D28" s="172"/>
    </row>
    <row r="29" spans="1:5">
      <c r="A29" s="3" t="s">
        <v>392</v>
      </c>
      <c r="B29" s="340"/>
      <c r="C29" s="172">
        <f>C22+C27</f>
        <v>1242461.4699999988</v>
      </c>
      <c r="D29" s="172">
        <f>D22+D27</f>
        <v>1156076.6600000006</v>
      </c>
    </row>
    <row r="30" spans="1:5">
      <c r="B30" s="340"/>
      <c r="C30" s="170"/>
      <c r="D30" s="170"/>
    </row>
    <row r="31" spans="1:5">
      <c r="A31" s="3" t="s">
        <v>393</v>
      </c>
      <c r="B31" s="340"/>
      <c r="C31" s="170"/>
      <c r="D31" s="170"/>
    </row>
    <row r="32" spans="1:5">
      <c r="A32" t="s">
        <v>394</v>
      </c>
      <c r="B32" s="340"/>
      <c r="C32" s="171">
        <f>C29</f>
        <v>1242461.4699999988</v>
      </c>
      <c r="D32" s="171">
        <f>D29</f>
        <v>1156076.6600000006</v>
      </c>
    </row>
    <row r="33" spans="1:4">
      <c r="A33" s="3" t="s">
        <v>395</v>
      </c>
      <c r="B33" s="340"/>
      <c r="C33" s="172">
        <f>SUM(C32)</f>
        <v>1242461.4699999988</v>
      </c>
      <c r="D33" s="172">
        <f>SUM(D32)</f>
        <v>1156076.6600000006</v>
      </c>
    </row>
    <row r="34" spans="1:4">
      <c r="B34" s="340"/>
      <c r="C34" s="170" t="s">
        <v>374</v>
      </c>
      <c r="D34" s="170"/>
    </row>
    <row r="35" spans="1:4">
      <c r="B35" s="340"/>
      <c r="C35" s="170" t="s">
        <v>374</v>
      </c>
      <c r="D35" s="170"/>
    </row>
    <row r="36" spans="1:4">
      <c r="B36" s="340"/>
      <c r="C36" s="170"/>
      <c r="D36" s="170"/>
    </row>
    <row r="37" spans="1:4" ht="23.4">
      <c r="A37" s="2" t="s">
        <v>903</v>
      </c>
      <c r="B37" s="340"/>
      <c r="C37" s="141"/>
      <c r="D37" s="141"/>
    </row>
    <row r="38" spans="1:4" s="4" customFormat="1">
      <c r="B38" s="340"/>
      <c r="C38" s="174"/>
      <c r="D38" s="174"/>
    </row>
    <row r="39" spans="1:4" s="4" customFormat="1">
      <c r="B39" s="340"/>
      <c r="C39" s="376" t="s">
        <v>396</v>
      </c>
      <c r="D39" s="376"/>
    </row>
    <row r="40" spans="1:4">
      <c r="B40" s="340" t="s">
        <v>376</v>
      </c>
      <c r="C40" s="341">
        <v>2019</v>
      </c>
      <c r="D40" s="341">
        <v>2018</v>
      </c>
    </row>
    <row r="41" spans="1:4">
      <c r="A41" s="3" t="s">
        <v>397</v>
      </c>
      <c r="B41" s="340"/>
      <c r="C41" s="141"/>
      <c r="D41" s="141"/>
    </row>
    <row r="42" spans="1:4">
      <c r="A42" s="3" t="s">
        <v>398</v>
      </c>
      <c r="B42" s="340"/>
      <c r="C42" s="176"/>
      <c r="D42" s="176"/>
    </row>
    <row r="43" spans="1:4">
      <c r="A43" s="10" t="s">
        <v>399</v>
      </c>
      <c r="B43" s="340" t="s">
        <v>521</v>
      </c>
      <c r="C43" s="170">
        <f>'Saldobalanse 2019'!D6</f>
        <v>1332790</v>
      </c>
      <c r="D43" s="179">
        <f>'Saldobalanse 2019'!G6</f>
        <v>1332790</v>
      </c>
    </row>
    <row r="44" spans="1:4">
      <c r="A44" s="10" t="s">
        <v>429</v>
      </c>
      <c r="B44" s="340" t="s">
        <v>522</v>
      </c>
      <c r="C44" s="171">
        <f>'Saldobalanse 2019'!D14</f>
        <v>518175.58</v>
      </c>
      <c r="D44" s="171">
        <f>'Saldobalanse 2019'!G14</f>
        <v>157390.73000000001</v>
      </c>
    </row>
    <row r="45" spans="1:4">
      <c r="A45" s="3" t="s">
        <v>400</v>
      </c>
      <c r="B45" s="340"/>
      <c r="C45" s="172">
        <f>SUM(C43:C44)</f>
        <v>1850965.58</v>
      </c>
      <c r="D45" s="172">
        <f>SUM(D43:D44)</f>
        <v>1490180.73</v>
      </c>
    </row>
    <row r="46" spans="1:4">
      <c r="B46" s="340"/>
      <c r="C46" s="170"/>
      <c r="D46" s="170"/>
    </row>
    <row r="47" spans="1:4">
      <c r="A47" s="3" t="s">
        <v>401</v>
      </c>
      <c r="B47" s="340"/>
      <c r="C47" s="141"/>
      <c r="D47" s="170"/>
    </row>
    <row r="48" spans="1:4">
      <c r="A48" t="s">
        <v>402</v>
      </c>
      <c r="B48" s="340" t="s">
        <v>380</v>
      </c>
      <c r="C48" s="170">
        <f>'Saldobalanse 2019'!D15</f>
        <v>115377.5</v>
      </c>
      <c r="D48" s="170">
        <f>'Saldobalanse 2019'!G15</f>
        <v>106961.13</v>
      </c>
    </row>
    <row r="49" spans="1:6">
      <c r="A49" t="s">
        <v>22</v>
      </c>
      <c r="B49" s="340" t="s">
        <v>380</v>
      </c>
      <c r="C49" s="170">
        <f>'Saldobalanse 2019'!D18</f>
        <v>0</v>
      </c>
      <c r="D49" s="170">
        <f>'Saldobalanse 2019'!G18</f>
        <v>40779.699999999997</v>
      </c>
    </row>
    <row r="50" spans="1:6">
      <c r="A50" t="s">
        <v>403</v>
      </c>
      <c r="B50" s="340" t="s">
        <v>380</v>
      </c>
      <c r="C50" s="170">
        <f>'Saldobalanse 2019'!D24</f>
        <v>159198.54</v>
      </c>
      <c r="D50" s="170">
        <f>'Saldobalanse 2019'!G24</f>
        <v>226890</v>
      </c>
    </row>
    <row r="51" spans="1:6">
      <c r="A51" t="s">
        <v>404</v>
      </c>
      <c r="B51" s="340" t="s">
        <v>405</v>
      </c>
      <c r="C51" s="171">
        <f>'Saldobalanse 2019'!D40</f>
        <v>4481912.58</v>
      </c>
      <c r="D51" s="171">
        <f>'Saldobalanse 2019'!G40</f>
        <v>3225366.17</v>
      </c>
    </row>
    <row r="52" spans="1:6">
      <c r="A52" s="3" t="s">
        <v>406</v>
      </c>
      <c r="B52" s="340"/>
      <c r="C52" s="172">
        <f>SUM(C48:C51)</f>
        <v>4756488.62</v>
      </c>
      <c r="D52" s="172">
        <f>SUM(D48:D51)</f>
        <v>3599997</v>
      </c>
    </row>
    <row r="53" spans="1:6">
      <c r="B53" s="340"/>
      <c r="C53" s="170"/>
      <c r="D53" s="170"/>
    </row>
    <row r="54" spans="1:6">
      <c r="A54" s="3" t="s">
        <v>407</v>
      </c>
      <c r="B54" s="340"/>
      <c r="C54" s="172">
        <f>C45+C52</f>
        <v>6607454.2000000002</v>
      </c>
      <c r="D54" s="172">
        <f>D45+D52</f>
        <v>5090177.7300000004</v>
      </c>
    </row>
    <row r="55" spans="1:6">
      <c r="B55" s="340"/>
      <c r="C55" s="141"/>
      <c r="D55" s="170"/>
    </row>
    <row r="56" spans="1:6">
      <c r="B56" s="340"/>
      <c r="C56" s="141"/>
      <c r="D56" s="170"/>
    </row>
    <row r="57" spans="1:6" ht="21">
      <c r="A57" s="98" t="str">
        <f>A37</f>
        <v>Balanse pr 31.12.2019 for Oslostudentenes Idrettsklubb</v>
      </c>
      <c r="B57" s="340"/>
      <c r="C57" s="141"/>
      <c r="D57" s="170"/>
    </row>
    <row r="58" spans="1:6">
      <c r="B58" s="340"/>
      <c r="C58" s="141"/>
      <c r="D58" s="170"/>
    </row>
    <row r="59" spans="1:6">
      <c r="B59" s="340"/>
      <c r="C59" s="377" t="s">
        <v>396</v>
      </c>
      <c r="D59" s="377"/>
    </row>
    <row r="60" spans="1:6">
      <c r="B60" s="340" t="s">
        <v>376</v>
      </c>
      <c r="C60" s="342">
        <f>C40</f>
        <v>2019</v>
      </c>
      <c r="D60" s="181">
        <v>2018</v>
      </c>
    </row>
    <row r="61" spans="1:6">
      <c r="A61" s="3" t="s">
        <v>408</v>
      </c>
      <c r="B61" s="340"/>
      <c r="C61" s="141"/>
      <c r="D61" s="170"/>
    </row>
    <row r="62" spans="1:6">
      <c r="A62" s="16" t="s">
        <v>431</v>
      </c>
      <c r="B62" s="340" t="s">
        <v>409</v>
      </c>
      <c r="C62" s="170">
        <f>'Saldobalanse 2019'!D80</f>
        <v>-637309.85000000009</v>
      </c>
      <c r="D62" s="170">
        <f>'Saldobalanse 2019'!G80</f>
        <v>-637309.85000000009</v>
      </c>
    </row>
    <row r="63" spans="1:6">
      <c r="A63" s="16" t="s">
        <v>432</v>
      </c>
      <c r="B63" s="340"/>
      <c r="C63" s="171">
        <f>'Saldobalanse 2019'!D89</f>
        <v>-3793699.439999999</v>
      </c>
      <c r="D63" s="171">
        <f>'Saldobalanse 2019'!G89</f>
        <v>-2551238.1800000006</v>
      </c>
    </row>
    <row r="64" spans="1:6">
      <c r="A64" s="3" t="s">
        <v>410</v>
      </c>
      <c r="B64" s="340"/>
      <c r="C64" s="172">
        <f>SUM(C62:C63)</f>
        <v>-4431009.2899999991</v>
      </c>
      <c r="D64" s="172">
        <f>SUM(D62:D63)</f>
        <v>-3188548.0300000007</v>
      </c>
      <c r="F64" s="7"/>
    </row>
    <row r="65" spans="1:6">
      <c r="B65" s="340"/>
      <c r="C65" s="141"/>
      <c r="D65" s="170"/>
    </row>
    <row r="66" spans="1:6">
      <c r="A66" s="3" t="s">
        <v>411</v>
      </c>
      <c r="B66" s="340"/>
      <c r="C66" s="141"/>
      <c r="D66" s="170"/>
    </row>
    <row r="67" spans="1:6">
      <c r="A67" s="16" t="s">
        <v>433</v>
      </c>
      <c r="B67" s="340" t="s">
        <v>521</v>
      </c>
      <c r="C67" s="170">
        <f>'Saldobalanse 2019'!D96</f>
        <v>-20000</v>
      </c>
      <c r="D67" s="170">
        <f>'Saldobalanse 2019'!G96</f>
        <v>-20000</v>
      </c>
    </row>
    <row r="68" spans="1:6">
      <c r="A68" t="s">
        <v>413</v>
      </c>
      <c r="B68" s="340" t="s">
        <v>521</v>
      </c>
      <c r="C68" s="171">
        <f>'Saldobalanse 2019'!D92</f>
        <v>-1312790</v>
      </c>
      <c r="D68" s="171">
        <f>'Saldobalanse 2019'!G92</f>
        <v>-1312790</v>
      </c>
    </row>
    <row r="69" spans="1:6">
      <c r="A69" s="3" t="s">
        <v>415</v>
      </c>
      <c r="B69" s="340"/>
      <c r="C69" s="172">
        <f>SUM(C67:C68)</f>
        <v>-1332790</v>
      </c>
      <c r="D69" s="172">
        <f>SUM(D67:D68)</f>
        <v>-1332790</v>
      </c>
    </row>
    <row r="70" spans="1:6">
      <c r="B70" s="340"/>
      <c r="C70" s="141"/>
      <c r="D70" s="170"/>
    </row>
    <row r="71" spans="1:6">
      <c r="A71" s="3" t="s">
        <v>416</v>
      </c>
      <c r="B71" s="340"/>
      <c r="C71" s="141"/>
      <c r="D71" s="170"/>
    </row>
    <row r="72" spans="1:6">
      <c r="A72" t="s">
        <v>144</v>
      </c>
      <c r="B72" s="340"/>
      <c r="C72" s="170">
        <f>'Saldobalanse 2019'!D93</f>
        <v>-760065.71</v>
      </c>
      <c r="D72" s="170">
        <f>'Saldobalanse 2019'!G93</f>
        <v>-449161.06</v>
      </c>
    </row>
    <row r="73" spans="1:6">
      <c r="A73" t="s">
        <v>417</v>
      </c>
      <c r="B73" s="340" t="s">
        <v>405</v>
      </c>
      <c r="C73" s="170">
        <f>'Saldobalanse 2019'!D98</f>
        <v>-30403.88</v>
      </c>
      <c r="D73" s="170">
        <f>'Saldobalanse 2019'!G98</f>
        <v>-65195.93</v>
      </c>
    </row>
    <row r="74" spans="1:6">
      <c r="A74" t="s">
        <v>146</v>
      </c>
      <c r="B74" s="340" t="s">
        <v>374</v>
      </c>
      <c r="C74" s="171">
        <f>'Saldobalanse 2019'!D104</f>
        <v>-53185.119999999995</v>
      </c>
      <c r="D74" s="171">
        <f>'Saldobalanse 2019'!G104</f>
        <v>-54482.719999999994</v>
      </c>
    </row>
    <row r="75" spans="1:6">
      <c r="A75" s="3" t="s">
        <v>418</v>
      </c>
      <c r="B75" s="340"/>
      <c r="C75" s="172">
        <f>SUM(C72:C74)</f>
        <v>-843654.71</v>
      </c>
      <c r="D75" s="172">
        <f>SUM(D72:D74)</f>
        <v>-568839.71</v>
      </c>
    </row>
    <row r="76" spans="1:6">
      <c r="B76" s="340"/>
      <c r="C76" s="141"/>
      <c r="D76" s="170"/>
    </row>
    <row r="77" spans="1:6">
      <c r="A77" s="3" t="s">
        <v>419</v>
      </c>
      <c r="B77" s="340"/>
      <c r="C77" s="172">
        <f>C64+C69+C75</f>
        <v>-6607453.9999999991</v>
      </c>
      <c r="D77" s="172">
        <f>D64+D69+D75</f>
        <v>-5090177.7400000012</v>
      </c>
      <c r="E77" s="7"/>
      <c r="F77" s="7"/>
    </row>
    <row r="78" spans="1:6">
      <c r="C78" s="170"/>
      <c r="D78" s="170"/>
    </row>
    <row r="79" spans="1:6">
      <c r="B79" s="3" t="s">
        <v>904</v>
      </c>
    </row>
    <row r="81" spans="1:4" ht="13.2">
      <c r="A81" s="95" t="s">
        <v>536</v>
      </c>
      <c r="B81" s="96" t="s">
        <v>420</v>
      </c>
      <c r="D81" s="96" t="s">
        <v>420</v>
      </c>
    </row>
    <row r="82" spans="1:4" ht="13.2">
      <c r="A82" s="95"/>
      <c r="B82" s="96"/>
      <c r="D82" s="96"/>
    </row>
    <row r="83" spans="1:4" ht="13.2">
      <c r="A83" s="95" t="s">
        <v>420</v>
      </c>
      <c r="B83" s="96" t="s">
        <v>420</v>
      </c>
      <c r="D83" s="96" t="s">
        <v>420</v>
      </c>
    </row>
    <row r="84" spans="1:4" ht="13.2">
      <c r="A84" s="11"/>
      <c r="B84" s="11"/>
      <c r="C84" s="16" t="s">
        <v>374</v>
      </c>
      <c r="D84" s="11"/>
    </row>
    <row r="85" spans="1:4" ht="13.2">
      <c r="A85" s="11" t="s">
        <v>420</v>
      </c>
      <c r="B85" s="97" t="s">
        <v>420</v>
      </c>
      <c r="D85" s="97" t="s">
        <v>420</v>
      </c>
    </row>
    <row r="86" spans="1:4" ht="13.2">
      <c r="A86" s="11"/>
      <c r="B86" s="12"/>
      <c r="C86" s="11"/>
      <c r="D86" s="11"/>
    </row>
    <row r="87" spans="1:4" ht="13.2">
      <c r="A87" s="11" t="s">
        <v>420</v>
      </c>
      <c r="B87" s="13" t="s">
        <v>420</v>
      </c>
      <c r="C87" s="11"/>
      <c r="D87" s="97" t="s">
        <v>420</v>
      </c>
    </row>
    <row r="88" spans="1:4" ht="13.2">
      <c r="A88" s="11"/>
      <c r="B88" s="12"/>
      <c r="C88" s="11"/>
    </row>
    <row r="89" spans="1:4" ht="13.2">
      <c r="A89" s="11"/>
      <c r="B89" s="12"/>
      <c r="C89" s="11"/>
    </row>
    <row r="90" spans="1:4" ht="13.2">
      <c r="A90" s="11"/>
      <c r="B90" s="12"/>
      <c r="C90" s="11"/>
      <c r="D90" s="11"/>
    </row>
    <row r="91" spans="1:4" ht="13.2">
      <c r="A91" s="11"/>
      <c r="B91" s="12"/>
      <c r="C91" s="284"/>
      <c r="D91" s="11"/>
    </row>
    <row r="92" spans="1:4" ht="13.2">
      <c r="A92" s="11"/>
      <c r="B92" s="12"/>
      <c r="C92" s="284"/>
      <c r="D92" s="284"/>
    </row>
    <row r="93" spans="1:4" ht="13.2">
      <c r="A93" s="11"/>
      <c r="B93" s="12"/>
      <c r="C93" s="11"/>
      <c r="D93" s="13"/>
    </row>
    <row r="94" spans="1:4" ht="13.2">
      <c r="A94" s="11"/>
      <c r="B94" s="12"/>
      <c r="C94" s="11"/>
      <c r="D94" s="11"/>
    </row>
    <row r="95" spans="1:4">
      <c r="A95" s="14"/>
      <c r="C95" s="14"/>
      <c r="D95" s="14"/>
    </row>
  </sheetData>
  <mergeCells count="3">
    <mergeCell ref="C6:D6"/>
    <mergeCell ref="C39:D39"/>
    <mergeCell ref="C59:D5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B37-6302-47FB-9032-A2BB8E6669AB}">
  <sheetPr>
    <pageSetUpPr fitToPage="1"/>
  </sheetPr>
  <dimension ref="A1:R222"/>
  <sheetViews>
    <sheetView topLeftCell="A187" workbookViewId="0">
      <selection activeCell="E148" sqref="E148"/>
    </sheetView>
  </sheetViews>
  <sheetFormatPr baseColWidth="10" defaultColWidth="10.33203125" defaultRowHeight="13.2"/>
  <cols>
    <col min="1" max="1" width="9.33203125" style="51" customWidth="1"/>
    <col min="2" max="2" width="37" style="51" customWidth="1"/>
    <col min="3" max="3" width="14" style="78" customWidth="1"/>
    <col min="4" max="4" width="15.88671875" style="78" customWidth="1"/>
    <col min="5" max="5" width="15.109375" style="78" customWidth="1"/>
    <col min="6" max="6" width="13.5546875" style="78" bestFit="1" customWidth="1"/>
    <col min="7" max="7" width="15" style="51" bestFit="1" customWidth="1"/>
    <col min="8" max="8" width="11.6640625" style="51" bestFit="1" customWidth="1"/>
    <col min="9" max="9" width="10.33203125" style="65"/>
    <col min="10" max="10" width="10.88671875" style="51" bestFit="1" customWidth="1"/>
    <col min="11" max="16384" width="10.33203125" style="51"/>
  </cols>
  <sheetData>
    <row r="1" spans="1:9" ht="15.6">
      <c r="A1" s="49" t="s">
        <v>483</v>
      </c>
      <c r="B1" s="50"/>
      <c r="C1" s="294"/>
      <c r="I1" s="51"/>
    </row>
    <row r="2" spans="1:9" ht="15.6">
      <c r="A2" s="49" t="s">
        <v>905</v>
      </c>
      <c r="B2" s="50"/>
      <c r="C2" s="295"/>
      <c r="D2" s="296"/>
      <c r="E2" s="156"/>
      <c r="F2" s="156"/>
      <c r="G2" s="65"/>
      <c r="I2" s="51"/>
    </row>
    <row r="3" spans="1:9">
      <c r="A3" s="50"/>
      <c r="B3" s="50"/>
      <c r="D3" s="296"/>
      <c r="E3" s="156"/>
      <c r="F3" s="156"/>
      <c r="G3" s="65"/>
      <c r="I3" s="51"/>
    </row>
    <row r="4" spans="1:9">
      <c r="A4" s="54" t="s">
        <v>445</v>
      </c>
      <c r="B4" s="10"/>
      <c r="D4" s="156"/>
      <c r="E4" s="156"/>
      <c r="F4" s="156"/>
      <c r="G4" s="65"/>
      <c r="I4" s="51"/>
    </row>
    <row r="5" spans="1:9">
      <c r="A5" s="54"/>
      <c r="B5" s="10"/>
      <c r="D5" s="156"/>
      <c r="E5" s="156"/>
      <c r="F5" s="156"/>
      <c r="G5" s="65"/>
      <c r="I5" s="51"/>
    </row>
    <row r="6" spans="1:9">
      <c r="A6" s="312" t="s">
        <v>446</v>
      </c>
      <c r="B6" s="312" t="s">
        <v>447</v>
      </c>
      <c r="C6" s="156"/>
      <c r="D6" s="156"/>
      <c r="E6" s="156"/>
      <c r="F6" s="156"/>
      <c r="G6" s="65"/>
      <c r="I6" s="51"/>
    </row>
    <row r="7" spans="1:9">
      <c r="A7" s="64"/>
      <c r="B7" s="64" t="s">
        <v>485</v>
      </c>
      <c r="C7" s="156"/>
      <c r="D7" s="156"/>
      <c r="E7" s="156"/>
      <c r="F7" s="156"/>
      <c r="G7" s="65"/>
      <c r="I7" s="51"/>
    </row>
    <row r="8" spans="1:9">
      <c r="A8" s="64"/>
      <c r="B8" s="138" t="s">
        <v>738</v>
      </c>
      <c r="C8" s="156"/>
      <c r="D8" s="156"/>
      <c r="E8" s="156"/>
      <c r="F8" s="156"/>
      <c r="G8" s="65"/>
      <c r="I8" s="51"/>
    </row>
    <row r="9" spans="1:9">
      <c r="A9" s="64"/>
      <c r="B9" s="138" t="s">
        <v>791</v>
      </c>
      <c r="C9" s="156"/>
      <c r="D9" s="156"/>
      <c r="E9" s="156"/>
      <c r="F9" s="156"/>
      <c r="G9" s="65"/>
      <c r="I9" s="51"/>
    </row>
    <row r="10" spans="1:9">
      <c r="A10" s="64"/>
      <c r="B10" s="138" t="s">
        <v>792</v>
      </c>
      <c r="C10" s="156"/>
      <c r="D10" s="156"/>
      <c r="E10" s="156"/>
      <c r="F10" s="156"/>
      <c r="G10" s="65"/>
      <c r="I10" s="51"/>
    </row>
    <row r="11" spans="1:9">
      <c r="A11" s="64"/>
      <c r="B11" s="138" t="s">
        <v>742</v>
      </c>
      <c r="C11" s="156"/>
      <c r="D11" s="156"/>
      <c r="E11" s="156"/>
      <c r="F11" s="156"/>
      <c r="G11" s="65"/>
      <c r="I11" s="51"/>
    </row>
    <row r="12" spans="1:9">
      <c r="A12" s="312"/>
      <c r="B12" s="313" t="s">
        <v>448</v>
      </c>
      <c r="C12" s="156"/>
      <c r="D12" s="156"/>
      <c r="E12" s="156"/>
      <c r="F12" s="156"/>
      <c r="G12" s="65"/>
      <c r="I12" s="51"/>
    </row>
    <row r="13" spans="1:9">
      <c r="A13" s="314"/>
      <c r="B13" s="314" t="s">
        <v>449</v>
      </c>
      <c r="C13" s="156"/>
      <c r="D13" s="156"/>
      <c r="E13" s="156"/>
      <c r="F13" s="156"/>
      <c r="G13" s="65"/>
      <c r="I13" s="51"/>
    </row>
    <row r="14" spans="1:9">
      <c r="A14" s="314"/>
      <c r="B14" s="64" t="s">
        <v>450</v>
      </c>
      <c r="C14" s="156"/>
      <c r="D14" s="156"/>
      <c r="E14" s="156"/>
      <c r="F14" s="156"/>
      <c r="G14" s="65"/>
      <c r="I14" s="51"/>
    </row>
    <row r="15" spans="1:9">
      <c r="A15" s="312"/>
      <c r="B15" s="313" t="s">
        <v>451</v>
      </c>
      <c r="C15" s="156"/>
      <c r="D15" s="156"/>
      <c r="E15" s="156"/>
      <c r="F15" s="156"/>
      <c r="G15" s="65"/>
      <c r="I15" s="51"/>
    </row>
    <row r="16" spans="1:9">
      <c r="A16" s="314"/>
      <c r="B16" s="314" t="s">
        <v>683</v>
      </c>
      <c r="C16" s="156"/>
      <c r="D16" s="156"/>
      <c r="E16" s="156"/>
      <c r="F16" s="156"/>
      <c r="G16" s="65"/>
      <c r="I16" s="51"/>
    </row>
    <row r="17" spans="1:9">
      <c r="A17" s="314"/>
      <c r="B17" s="313" t="s">
        <v>452</v>
      </c>
      <c r="C17" s="156"/>
      <c r="D17" s="156"/>
      <c r="E17" s="156"/>
      <c r="F17" s="156"/>
      <c r="G17" s="65"/>
      <c r="I17" s="51"/>
    </row>
    <row r="18" spans="1:9">
      <c r="A18" s="314"/>
      <c r="B18" s="314" t="s">
        <v>453</v>
      </c>
      <c r="C18" s="156"/>
      <c r="D18" s="156"/>
      <c r="E18" s="156"/>
      <c r="F18" s="156"/>
      <c r="G18" s="65"/>
      <c r="I18" s="51"/>
    </row>
    <row r="19" spans="1:9">
      <c r="A19" s="314"/>
      <c r="B19" s="314" t="s">
        <v>454</v>
      </c>
      <c r="C19" s="156"/>
      <c r="D19" s="156"/>
      <c r="E19" s="156"/>
      <c r="F19" s="156"/>
      <c r="G19" s="65"/>
      <c r="I19" s="51"/>
    </row>
    <row r="20" spans="1:9">
      <c r="A20" s="314"/>
      <c r="B20" s="314" t="s">
        <v>455</v>
      </c>
      <c r="C20" s="156"/>
      <c r="D20" s="156"/>
      <c r="E20" s="156"/>
      <c r="F20" s="156"/>
      <c r="G20" s="65"/>
      <c r="I20" s="51"/>
    </row>
    <row r="21" spans="1:9">
      <c r="A21" s="314"/>
      <c r="B21" s="313" t="s">
        <v>146</v>
      </c>
      <c r="C21" s="156"/>
      <c r="D21" s="156"/>
      <c r="E21" s="156"/>
      <c r="F21" s="156"/>
      <c r="G21" s="65"/>
      <c r="I21" s="51"/>
    </row>
    <row r="22" spans="1:9">
      <c r="A22" s="314"/>
      <c r="B22" s="138" t="s">
        <v>793</v>
      </c>
      <c r="C22" s="156"/>
      <c r="D22" s="156"/>
      <c r="E22" s="156"/>
      <c r="F22" s="156"/>
      <c r="G22" s="65"/>
      <c r="I22" s="51"/>
    </row>
    <row r="23" spans="1:9">
      <c r="A23" s="314"/>
      <c r="B23" s="313" t="s">
        <v>457</v>
      </c>
      <c r="C23" s="156"/>
      <c r="D23" s="156"/>
      <c r="E23" s="156"/>
      <c r="F23" s="156"/>
      <c r="G23" s="65"/>
      <c r="I23" s="51"/>
    </row>
    <row r="24" spans="1:9">
      <c r="A24" s="314"/>
      <c r="B24" s="314" t="s">
        <v>458</v>
      </c>
      <c r="C24" s="156"/>
      <c r="D24" s="156"/>
      <c r="E24" s="156"/>
      <c r="F24" s="156"/>
      <c r="G24" s="65"/>
      <c r="I24" s="51"/>
    </row>
    <row r="25" spans="1:9">
      <c r="A25" s="314"/>
      <c r="B25" s="64" t="s">
        <v>496</v>
      </c>
      <c r="C25" s="156"/>
      <c r="D25" s="156"/>
      <c r="E25" s="156"/>
      <c r="F25" s="156"/>
      <c r="G25" s="65"/>
      <c r="I25" s="51"/>
    </row>
    <row r="26" spans="1:9">
      <c r="A26" s="314"/>
      <c r="B26" s="314" t="s">
        <v>497</v>
      </c>
      <c r="C26" s="156"/>
      <c r="D26" s="156"/>
      <c r="E26" s="156"/>
      <c r="F26" s="156"/>
      <c r="G26" s="65"/>
      <c r="I26" s="51"/>
    </row>
    <row r="27" spans="1:9">
      <c r="A27" s="314"/>
      <c r="B27" s="312" t="s">
        <v>537</v>
      </c>
      <c r="C27" s="156"/>
      <c r="D27" s="156"/>
      <c r="E27" s="156"/>
      <c r="F27" s="156"/>
      <c r="G27" s="65"/>
      <c r="I27" s="51"/>
    </row>
    <row r="28" spans="1:9">
      <c r="A28" s="314"/>
      <c r="B28" s="314" t="s">
        <v>684</v>
      </c>
      <c r="C28" s="156"/>
      <c r="D28" s="156"/>
      <c r="E28" s="156"/>
      <c r="F28" s="156"/>
      <c r="G28" s="65"/>
      <c r="I28" s="51"/>
    </row>
    <row r="29" spans="1:9">
      <c r="A29" s="314"/>
      <c r="B29" s="138"/>
      <c r="C29" s="156"/>
      <c r="D29" s="156"/>
      <c r="E29" s="156"/>
      <c r="F29" s="156"/>
      <c r="G29" s="65"/>
      <c r="I29" s="51"/>
    </row>
    <row r="30" spans="1:9">
      <c r="A30" s="314"/>
      <c r="B30" s="314"/>
      <c r="C30" s="156"/>
      <c r="D30" s="156"/>
      <c r="E30" s="156"/>
      <c r="F30" s="156"/>
      <c r="G30" s="65"/>
      <c r="I30" s="51"/>
    </row>
    <row r="31" spans="1:9">
      <c r="A31" s="314"/>
      <c r="B31" s="314"/>
      <c r="C31" s="156"/>
      <c r="D31" s="156"/>
      <c r="E31" s="156"/>
      <c r="F31" s="156"/>
      <c r="G31" s="65"/>
      <c r="I31" s="51"/>
    </row>
    <row r="32" spans="1:9">
      <c r="A32" s="157" t="s">
        <v>459</v>
      </c>
      <c r="B32" s="312" t="s">
        <v>460</v>
      </c>
      <c r="C32" s="156"/>
      <c r="D32" s="156"/>
      <c r="E32" s="156"/>
      <c r="F32" s="156"/>
      <c r="G32" s="65"/>
      <c r="I32" s="51"/>
    </row>
    <row r="33" spans="1:11">
      <c r="A33" s="157"/>
      <c r="B33" s="312"/>
      <c r="C33" s="156"/>
      <c r="D33" s="156"/>
      <c r="E33" s="162"/>
      <c r="F33" s="156"/>
      <c r="G33" s="65"/>
      <c r="I33" s="51"/>
    </row>
    <row r="34" spans="1:11" ht="14.4">
      <c r="A34" s="157"/>
      <c r="B34" s="313" t="s">
        <v>461</v>
      </c>
      <c r="C34" s="315" t="s">
        <v>906</v>
      </c>
      <c r="D34" s="315" t="s">
        <v>874</v>
      </c>
      <c r="E34" s="156"/>
      <c r="F34" s="156"/>
      <c r="G34" s="65"/>
      <c r="I34" s="51"/>
    </row>
    <row r="35" spans="1:11" ht="14.4">
      <c r="A35" s="157"/>
      <c r="B35" s="64" t="s">
        <v>463</v>
      </c>
      <c r="C35" s="316">
        <f>'Saldobalanse 2019'!C151+'Saldobalanse 2019'!C152+'Saldobalanse 2019'!C153+'Saldobalanse 2019'!C154+'Saldobalanse 2019'!C155+'Saldobalanse 2019'!C156+'Saldobalanse 2019'!C157+'Saldobalanse 2019'!C158+'Saldobalanse 2019'!C159+'Saldobalanse 2019'!C160+'Saldobalanse 2019'!C161+'Saldobalanse 2019'!C162+'Saldobalanse 2019'!C163+'Saldobalanse 2019'!C164</f>
        <v>952781.53</v>
      </c>
      <c r="D35" s="317">
        <f>'Saldobalanse 2019'!F151+'Saldobalanse 2019'!F152+'Saldobalanse 2019'!F153+'Saldobalanse 2019'!F154+'Saldobalanse 2019'!F155+'Saldobalanse 2019'!F156+'Saldobalanse 2019'!F157+'Saldobalanse 2019'!F158+'Saldobalanse 2019'!F159+'Saldobalanse 2019'!F160+'Saldobalanse 2019'!F161+'Saldobalanse 2019'!F162+'Saldobalanse 2019'!F163+'Saldobalanse 2019'!F164</f>
        <v>950636.00999999989</v>
      </c>
      <c r="E35" s="156"/>
      <c r="F35" s="156"/>
      <c r="G35" s="345"/>
      <c r="I35" s="51"/>
    </row>
    <row r="36" spans="1:11">
      <c r="A36" s="157"/>
      <c r="B36" s="64" t="s">
        <v>232</v>
      </c>
      <c r="C36" s="317">
        <f>'Saldobalanse 2019'!C165+'Saldobalanse 2019'!C166</f>
        <v>131753.16</v>
      </c>
      <c r="D36" s="317">
        <f>'Saldobalanse 2019'!F165+'Saldobalanse 2019'!F166</f>
        <v>146966.93</v>
      </c>
      <c r="E36" s="156"/>
      <c r="F36" s="156"/>
      <c r="G36" s="65"/>
      <c r="I36" s="51"/>
    </row>
    <row r="37" spans="1:11">
      <c r="A37" s="157"/>
      <c r="B37" s="64" t="s">
        <v>464</v>
      </c>
      <c r="C37" s="317">
        <f>'Saldobalanse 2019'!C172</f>
        <v>6895.29</v>
      </c>
      <c r="D37" s="317">
        <f>'Saldobalanse 2019'!F172</f>
        <v>9170.1</v>
      </c>
      <c r="E37" s="156"/>
      <c r="F37" s="156"/>
      <c r="G37" s="65"/>
      <c r="I37" s="51"/>
    </row>
    <row r="38" spans="1:11">
      <c r="A38" s="157"/>
      <c r="B38" s="64" t="s">
        <v>465</v>
      </c>
      <c r="C38" s="318">
        <f>'Saldobalanse 2019'!C167+'Saldobalanse 2019'!C168+'Saldobalanse 2019'!C169+'Saldobalanse 2019'!C170+'Saldobalanse 2019'!C171+'Saldobalanse 2019'!C173</f>
        <v>12868.38</v>
      </c>
      <c r="D38" s="318">
        <f>'Saldobalanse 2019'!F167+'Saldobalanse 2019'!F168+'Saldobalanse 2019'!F169+'Saldobalanse 2019'!F170+'Saldobalanse 2019'!F171+'Saldobalanse 2019'!F173</f>
        <v>58124.229999999996</v>
      </c>
      <c r="E38" s="156"/>
      <c r="F38" s="156"/>
      <c r="G38" s="65"/>
      <c r="I38" s="51"/>
    </row>
    <row r="39" spans="1:11">
      <c r="A39" s="157"/>
      <c r="B39" s="64" t="s">
        <v>466</v>
      </c>
      <c r="C39" s="317">
        <f>SUM(C35:C38)</f>
        <v>1104298.3599999999</v>
      </c>
      <c r="D39" s="317">
        <f>SUM(D35:D38)</f>
        <v>1164897.27</v>
      </c>
      <c r="E39" s="156"/>
      <c r="F39" s="156"/>
      <c r="G39" s="65"/>
      <c r="H39" s="147"/>
      <c r="I39" s="147"/>
      <c r="J39" s="147"/>
      <c r="K39" s="147"/>
    </row>
    <row r="40" spans="1:11">
      <c r="A40" s="157"/>
      <c r="B40" s="64"/>
      <c r="C40" s="319"/>
      <c r="D40" s="319"/>
      <c r="E40" s="162"/>
      <c r="F40" s="319"/>
      <c r="G40" s="65"/>
      <c r="H40" s="147"/>
      <c r="I40" s="147"/>
      <c r="J40" s="147"/>
      <c r="K40" s="147"/>
    </row>
    <row r="41" spans="1:11">
      <c r="A41" s="157"/>
      <c r="B41" s="138" t="s">
        <v>907</v>
      </c>
      <c r="C41" s="156"/>
      <c r="D41" s="156"/>
      <c r="E41" s="156"/>
      <c r="F41" s="156"/>
      <c r="G41" s="65"/>
      <c r="H41" s="147"/>
      <c r="I41" s="147"/>
      <c r="J41" s="147"/>
      <c r="K41" s="147"/>
    </row>
    <row r="42" spans="1:11">
      <c r="A42" s="65"/>
      <c r="B42" s="320" t="s">
        <v>908</v>
      </c>
      <c r="C42" s="156"/>
      <c r="D42" s="156"/>
      <c r="E42" s="156"/>
      <c r="F42" s="156"/>
      <c r="G42" s="65"/>
      <c r="H42" s="147"/>
      <c r="I42" s="147"/>
      <c r="J42" s="147"/>
      <c r="K42" s="147"/>
    </row>
    <row r="43" spans="1:11">
      <c r="A43" s="65"/>
      <c r="B43" s="138" t="s">
        <v>909</v>
      </c>
      <c r="C43" s="156"/>
      <c r="D43" s="156"/>
      <c r="E43" s="156"/>
      <c r="F43" s="156" t="s">
        <v>374</v>
      </c>
      <c r="G43" s="65"/>
      <c r="H43" s="147"/>
      <c r="I43" s="147"/>
      <c r="J43" s="147"/>
      <c r="K43" s="147"/>
    </row>
    <row r="44" spans="1:11">
      <c r="A44" s="65"/>
      <c r="B44" s="138" t="s">
        <v>910</v>
      </c>
      <c r="C44" s="156"/>
      <c r="D44" s="156"/>
      <c r="E44" s="156"/>
      <c r="F44" s="156"/>
      <c r="G44" s="65"/>
      <c r="H44" s="147"/>
      <c r="I44" s="147"/>
      <c r="J44" s="147"/>
      <c r="K44" s="147"/>
    </row>
    <row r="45" spans="1:11">
      <c r="A45" s="65"/>
      <c r="B45" s="138" t="s">
        <v>911</v>
      </c>
      <c r="C45" s="156"/>
      <c r="D45" s="156"/>
      <c r="E45" s="296"/>
      <c r="F45" s="156"/>
      <c r="G45" s="65"/>
      <c r="I45" s="148"/>
      <c r="J45" s="147"/>
      <c r="K45" s="147"/>
    </row>
    <row r="46" spans="1:11">
      <c r="A46" s="65"/>
      <c r="B46" s="64"/>
      <c r="C46" s="156"/>
      <c r="D46" s="156"/>
      <c r="E46" s="156"/>
      <c r="F46" s="156"/>
      <c r="G46" s="65"/>
      <c r="I46" s="51"/>
    </row>
    <row r="47" spans="1:11">
      <c r="A47" s="65"/>
      <c r="B47" s="64" t="s">
        <v>467</v>
      </c>
      <c r="C47" s="156"/>
      <c r="D47" s="156"/>
      <c r="E47" s="156"/>
      <c r="F47" s="156"/>
      <c r="G47" s="65"/>
      <c r="I47" s="51"/>
    </row>
    <row r="48" spans="1:11">
      <c r="A48" s="65"/>
      <c r="B48" s="64" t="s">
        <v>468</v>
      </c>
      <c r="C48" s="156"/>
      <c r="D48" s="156"/>
      <c r="E48" s="156"/>
      <c r="F48" s="156"/>
      <c r="G48" s="65"/>
      <c r="I48" s="51"/>
    </row>
    <row r="49" spans="1:10">
      <c r="A49" s="65"/>
      <c r="B49" s="64"/>
      <c r="C49" s="156"/>
      <c r="D49" s="156"/>
      <c r="E49" s="156"/>
      <c r="F49" s="156"/>
      <c r="G49" s="65"/>
      <c r="I49" s="51"/>
    </row>
    <row r="50" spans="1:10">
      <c r="A50" s="65"/>
      <c r="B50" s="64"/>
      <c r="C50" s="156"/>
      <c r="D50" s="156"/>
      <c r="E50" s="156"/>
      <c r="F50" s="156"/>
      <c r="G50" s="65"/>
      <c r="I50" s="51"/>
    </row>
    <row r="51" spans="1:10">
      <c r="A51" s="157" t="s">
        <v>469</v>
      </c>
      <c r="B51" s="312" t="s">
        <v>470</v>
      </c>
      <c r="C51" s="297"/>
      <c r="D51" s="297"/>
      <c r="E51" s="297"/>
      <c r="F51" s="162"/>
      <c r="G51" s="72"/>
      <c r="I51" s="51"/>
    </row>
    <row r="52" spans="1:10">
      <c r="A52" s="157"/>
      <c r="B52" s="312"/>
      <c r="C52" s="297"/>
      <c r="D52" s="297"/>
      <c r="E52" s="297"/>
      <c r="F52" s="162"/>
      <c r="G52" s="72"/>
      <c r="I52" s="51"/>
    </row>
    <row r="53" spans="1:10">
      <c r="A53" s="72"/>
      <c r="B53" s="313" t="s">
        <v>508</v>
      </c>
      <c r="C53" s="162"/>
      <c r="D53" s="162"/>
      <c r="E53" s="162"/>
      <c r="F53" s="162"/>
      <c r="G53" s="72"/>
      <c r="I53" s="51"/>
    </row>
    <row r="54" spans="1:10">
      <c r="A54" s="72"/>
      <c r="B54" s="138" t="s">
        <v>912</v>
      </c>
      <c r="C54" s="162"/>
      <c r="D54" s="298">
        <v>1287790</v>
      </c>
      <c r="E54" s="156"/>
      <c r="F54" s="162"/>
      <c r="G54" s="72"/>
      <c r="I54" s="51"/>
    </row>
    <row r="55" spans="1:10">
      <c r="A55" s="72"/>
      <c r="B55" s="64" t="s">
        <v>511</v>
      </c>
      <c r="C55" s="162"/>
      <c r="D55" s="162"/>
      <c r="E55" s="298"/>
      <c r="F55" s="162"/>
      <c r="G55" s="72"/>
      <c r="I55" s="51"/>
    </row>
    <row r="56" spans="1:10">
      <c r="A56" s="72"/>
      <c r="B56" s="72" t="s">
        <v>509</v>
      </c>
      <c r="C56" s="298"/>
      <c r="D56" s="162"/>
      <c r="E56" s="162"/>
      <c r="F56" s="162"/>
      <c r="G56" s="72"/>
      <c r="I56" s="51"/>
    </row>
    <row r="57" spans="1:10">
      <c r="A57" s="72"/>
      <c r="B57" s="64" t="s">
        <v>510</v>
      </c>
      <c r="C57" s="298"/>
      <c r="D57" s="162"/>
      <c r="E57" s="162"/>
      <c r="F57" s="162"/>
      <c r="G57" s="72"/>
      <c r="I57" s="51"/>
    </row>
    <row r="58" spans="1:10">
      <c r="A58" s="72"/>
      <c r="B58" s="64" t="s">
        <v>540</v>
      </c>
      <c r="C58" s="298"/>
      <c r="D58" s="162"/>
      <c r="E58" s="162"/>
      <c r="F58" s="162"/>
      <c r="G58" s="72"/>
      <c r="I58" s="51"/>
    </row>
    <row r="59" spans="1:10">
      <c r="A59" s="72"/>
      <c r="B59" s="138" t="s">
        <v>731</v>
      </c>
      <c r="C59" s="298"/>
      <c r="D59" s="162"/>
      <c r="E59" s="162"/>
      <c r="F59" s="162"/>
      <c r="G59" s="72"/>
      <c r="I59" s="51"/>
    </row>
    <row r="60" spans="1:10">
      <c r="A60" s="72"/>
      <c r="B60" s="138" t="s">
        <v>736</v>
      </c>
      <c r="C60" s="298"/>
      <c r="D60" s="299">
        <v>16264622</v>
      </c>
      <c r="E60" s="162"/>
      <c r="F60" s="162"/>
      <c r="G60" s="158"/>
      <c r="I60" s="51"/>
    </row>
    <row r="61" spans="1:10">
      <c r="A61" s="72"/>
      <c r="B61" s="138" t="s">
        <v>732</v>
      </c>
      <c r="C61" s="298"/>
      <c r="D61" s="299">
        <v>12202081</v>
      </c>
      <c r="E61" s="162"/>
      <c r="F61" s="162"/>
      <c r="G61" s="158"/>
      <c r="I61" s="51"/>
    </row>
    <row r="62" spans="1:10">
      <c r="A62" s="72"/>
      <c r="B62" s="138" t="s">
        <v>733</v>
      </c>
      <c r="C62" s="298"/>
      <c r="D62" s="299">
        <v>4510722</v>
      </c>
      <c r="E62" s="162"/>
      <c r="F62" s="162"/>
      <c r="G62" s="158"/>
      <c r="I62" s="51"/>
    </row>
    <row r="63" spans="1:10">
      <c r="A63" s="72"/>
      <c r="B63" s="138" t="s">
        <v>734</v>
      </c>
      <c r="C63" s="298"/>
      <c r="D63" s="300">
        <v>2183158</v>
      </c>
      <c r="E63" s="162"/>
      <c r="F63" s="162"/>
      <c r="G63" s="158"/>
      <c r="I63" s="51"/>
    </row>
    <row r="64" spans="1:10">
      <c r="A64" s="72"/>
      <c r="B64" s="138" t="s">
        <v>735</v>
      </c>
      <c r="C64" s="298"/>
      <c r="D64" s="162">
        <f>SUM(D60:D63)</f>
        <v>35160583</v>
      </c>
      <c r="E64" s="162"/>
      <c r="F64" s="162"/>
      <c r="G64" s="72"/>
      <c r="I64" s="51"/>
      <c r="J64" s="149"/>
    </row>
    <row r="65" spans="1:10">
      <c r="A65" s="72"/>
      <c r="B65" s="138"/>
      <c r="C65" s="298"/>
      <c r="D65" s="162"/>
      <c r="E65" s="162"/>
      <c r="F65" s="162"/>
      <c r="G65" s="72"/>
      <c r="I65" s="51"/>
      <c r="J65" s="149"/>
    </row>
    <row r="66" spans="1:10">
      <c r="A66" s="72"/>
      <c r="B66" s="138" t="s">
        <v>825</v>
      </c>
      <c r="C66" s="298"/>
      <c r="D66" s="162">
        <v>1150778</v>
      </c>
      <c r="E66" s="162"/>
      <c r="F66" s="162"/>
      <c r="G66" s="72"/>
      <c r="I66" s="51"/>
      <c r="J66" s="149"/>
    </row>
    <row r="67" spans="1:10">
      <c r="A67" s="72"/>
      <c r="B67" s="138"/>
      <c r="C67" s="298"/>
      <c r="D67" s="162"/>
      <c r="E67" s="162"/>
      <c r="F67" s="162"/>
      <c r="G67" s="72"/>
      <c r="I67" s="51"/>
    </row>
    <row r="68" spans="1:10">
      <c r="A68" s="72"/>
      <c r="B68" s="313" t="s">
        <v>512</v>
      </c>
      <c r="C68" s="298"/>
      <c r="D68" s="162"/>
      <c r="E68" s="162"/>
      <c r="F68" s="162"/>
      <c r="G68" s="72"/>
      <c r="I68" s="51"/>
    </row>
    <row r="69" spans="1:10">
      <c r="A69" s="72"/>
      <c r="B69" s="138" t="s">
        <v>912</v>
      </c>
      <c r="C69" s="162"/>
      <c r="D69" s="298">
        <v>45000</v>
      </c>
      <c r="E69" s="156"/>
      <c r="F69" s="162"/>
      <c r="G69" s="72"/>
      <c r="I69" s="51"/>
    </row>
    <row r="70" spans="1:10">
      <c r="A70" s="72"/>
      <c r="B70" s="64" t="s">
        <v>541</v>
      </c>
      <c r="C70" s="162"/>
      <c r="D70" s="162"/>
      <c r="E70" s="298"/>
      <c r="F70" s="162"/>
      <c r="G70" s="72"/>
      <c r="I70" s="51"/>
    </row>
    <row r="71" spans="1:10">
      <c r="A71" s="72"/>
      <c r="B71" s="64" t="s">
        <v>540</v>
      </c>
      <c r="C71" s="298"/>
      <c r="D71" s="162"/>
      <c r="E71" s="162"/>
      <c r="F71" s="162"/>
      <c r="G71" s="72"/>
      <c r="I71" s="51"/>
    </row>
    <row r="72" spans="1:10">
      <c r="A72" s="72"/>
      <c r="B72" s="138" t="s">
        <v>894</v>
      </c>
      <c r="C72" s="298"/>
      <c r="D72" s="162"/>
      <c r="E72" s="162"/>
      <c r="F72" s="162"/>
      <c r="G72" s="72"/>
      <c r="I72" s="51"/>
    </row>
    <row r="73" spans="1:10">
      <c r="A73" s="72"/>
      <c r="B73" s="64"/>
      <c r="C73" s="298"/>
      <c r="D73" s="162"/>
      <c r="E73" s="162"/>
      <c r="F73" s="162"/>
      <c r="G73" s="72"/>
      <c r="I73" s="51"/>
    </row>
    <row r="74" spans="1:10">
      <c r="A74" s="72"/>
      <c r="B74" s="313" t="s">
        <v>513</v>
      </c>
      <c r="C74" s="298"/>
      <c r="D74" s="162"/>
      <c r="E74" s="162"/>
      <c r="F74" s="162"/>
      <c r="G74" s="72"/>
      <c r="I74" s="51"/>
    </row>
    <row r="75" spans="1:10">
      <c r="A75" s="72"/>
      <c r="B75" s="64" t="s">
        <v>514</v>
      </c>
      <c r="C75" s="162"/>
      <c r="D75" s="298">
        <v>132876</v>
      </c>
      <c r="E75" s="156"/>
      <c r="F75" s="162"/>
      <c r="G75" s="72"/>
      <c r="I75" s="51"/>
    </row>
    <row r="76" spans="1:10">
      <c r="A76" s="72"/>
      <c r="B76" s="64" t="s">
        <v>472</v>
      </c>
      <c r="C76" s="162"/>
      <c r="D76" s="301">
        <v>-132876</v>
      </c>
      <c r="E76" s="156"/>
      <c r="F76" s="162"/>
      <c r="G76" s="72"/>
      <c r="I76" s="51"/>
    </row>
    <row r="77" spans="1:10">
      <c r="A77" s="72"/>
      <c r="B77" s="64" t="s">
        <v>505</v>
      </c>
      <c r="C77" s="162"/>
      <c r="D77" s="302">
        <v>0</v>
      </c>
      <c r="E77" s="156"/>
      <c r="F77" s="162"/>
      <c r="G77" s="72"/>
      <c r="I77" s="51" t="s">
        <v>374</v>
      </c>
    </row>
    <row r="78" spans="1:10">
      <c r="A78" s="72"/>
      <c r="B78" s="138" t="s">
        <v>912</v>
      </c>
      <c r="C78" s="162"/>
      <c r="D78" s="298">
        <f>SUM(D75:D77)</f>
        <v>0</v>
      </c>
      <c r="E78" s="156"/>
      <c r="F78" s="162"/>
      <c r="G78" s="72"/>
      <c r="I78" s="51"/>
    </row>
    <row r="79" spans="1:10">
      <c r="A79" s="72"/>
      <c r="B79" s="72" t="s">
        <v>515</v>
      </c>
      <c r="C79" s="298"/>
      <c r="D79" s="162"/>
      <c r="E79" s="156"/>
      <c r="F79" s="162"/>
      <c r="G79" s="72"/>
      <c r="I79" s="51"/>
    </row>
    <row r="80" spans="1:10">
      <c r="A80" s="72"/>
      <c r="B80" s="72"/>
      <c r="C80" s="298"/>
      <c r="D80" s="162"/>
      <c r="E80" s="156"/>
      <c r="F80" s="162"/>
      <c r="G80" s="72"/>
      <c r="I80" s="51"/>
    </row>
    <row r="81" spans="1:9">
      <c r="A81" s="72"/>
      <c r="B81" s="72"/>
      <c r="C81" s="298"/>
      <c r="D81" s="162"/>
      <c r="E81" s="156"/>
      <c r="F81" s="162"/>
      <c r="G81" s="72"/>
      <c r="I81" s="51"/>
    </row>
    <row r="82" spans="1:9">
      <c r="A82" s="163" t="s">
        <v>474</v>
      </c>
      <c r="B82" s="163" t="s">
        <v>523</v>
      </c>
      <c r="C82" s="298"/>
      <c r="D82" s="162"/>
      <c r="E82" s="156"/>
      <c r="F82" s="162"/>
      <c r="G82" s="72"/>
      <c r="I82" s="51"/>
    </row>
    <row r="83" spans="1:9">
      <c r="A83" s="72"/>
      <c r="B83" s="64"/>
      <c r="C83" s="298"/>
      <c r="D83" s="162"/>
      <c r="E83" s="156"/>
      <c r="F83" s="162"/>
      <c r="G83" s="72"/>
      <c r="I83" s="51"/>
    </row>
    <row r="84" spans="1:9">
      <c r="A84" s="72"/>
      <c r="B84" s="312" t="s">
        <v>913</v>
      </c>
      <c r="C84" s="298"/>
      <c r="D84" s="162"/>
      <c r="E84" s="156"/>
      <c r="F84" s="162"/>
      <c r="G84" s="72"/>
      <c r="I84" s="51"/>
    </row>
    <row r="85" spans="1:9">
      <c r="A85" s="72"/>
      <c r="B85" s="138" t="s">
        <v>914</v>
      </c>
      <c r="C85" s="298"/>
      <c r="D85" s="162">
        <v>328125.40999999997</v>
      </c>
      <c r="E85" s="156"/>
      <c r="F85" s="162"/>
      <c r="G85" s="72"/>
      <c r="I85" s="51"/>
    </row>
    <row r="86" spans="1:9">
      <c r="A86" s="72"/>
      <c r="B86" s="138" t="s">
        <v>472</v>
      </c>
      <c r="C86" s="298"/>
      <c r="D86" s="162">
        <v>0</v>
      </c>
      <c r="E86" s="156"/>
      <c r="F86" s="162"/>
      <c r="G86" s="72"/>
      <c r="I86" s="51"/>
    </row>
    <row r="87" spans="1:9">
      <c r="A87" s="72"/>
      <c r="B87" s="64" t="s">
        <v>505</v>
      </c>
      <c r="C87" s="298"/>
      <c r="D87" s="321">
        <v>-43756.480000000003</v>
      </c>
      <c r="E87" s="156"/>
      <c r="F87" s="162"/>
      <c r="G87" s="72"/>
      <c r="I87" s="51"/>
    </row>
    <row r="88" spans="1:9">
      <c r="A88" s="72"/>
      <c r="B88" s="138" t="s">
        <v>912</v>
      </c>
      <c r="C88" s="298"/>
      <c r="D88" s="162">
        <f>SUM(D85:D87)</f>
        <v>284368.93</v>
      </c>
      <c r="E88" s="156"/>
      <c r="F88" s="162"/>
      <c r="G88" s="72"/>
      <c r="I88" s="51"/>
    </row>
    <row r="89" spans="1:9">
      <c r="A89" s="72"/>
      <c r="B89" s="138" t="s">
        <v>515</v>
      </c>
      <c r="C89" s="298"/>
      <c r="D89" s="162"/>
      <c r="E89" s="156"/>
      <c r="F89" s="162"/>
      <c r="G89" s="72"/>
      <c r="I89" s="51"/>
    </row>
    <row r="90" spans="1:9">
      <c r="A90" s="72"/>
      <c r="B90" s="64"/>
      <c r="C90" s="298"/>
      <c r="D90" s="162"/>
      <c r="E90" s="156"/>
      <c r="F90" s="162"/>
      <c r="G90" s="72"/>
      <c r="I90" s="51"/>
    </row>
    <row r="91" spans="1:9">
      <c r="A91" s="72"/>
      <c r="B91" s="64"/>
      <c r="C91" s="298"/>
      <c r="D91" s="162"/>
      <c r="E91" s="156"/>
      <c r="F91" s="162"/>
      <c r="G91" s="72"/>
      <c r="I91" s="51"/>
    </row>
    <row r="92" spans="1:9">
      <c r="A92" s="72"/>
      <c r="B92" s="312" t="s">
        <v>716</v>
      </c>
      <c r="C92" s="298"/>
      <c r="D92" s="162"/>
      <c r="E92" s="156"/>
      <c r="F92" s="162"/>
      <c r="G92" s="72"/>
      <c r="I92" s="51"/>
    </row>
    <row r="93" spans="1:9">
      <c r="A93" s="72"/>
      <c r="B93" s="138" t="s">
        <v>719</v>
      </c>
      <c r="C93" s="298"/>
      <c r="D93" s="162">
        <v>21894</v>
      </c>
      <c r="E93" s="156"/>
      <c r="F93" s="162"/>
      <c r="G93" s="72"/>
      <c r="I93" s="51"/>
    </row>
    <row r="94" spans="1:9">
      <c r="A94" s="72"/>
      <c r="B94" s="138" t="s">
        <v>801</v>
      </c>
      <c r="C94" s="298"/>
      <c r="D94" s="162">
        <v>-12809</v>
      </c>
      <c r="E94" s="156"/>
      <c r="F94" s="162"/>
      <c r="G94" s="72"/>
      <c r="I94" s="51"/>
    </row>
    <row r="95" spans="1:9">
      <c r="A95" s="72"/>
      <c r="B95" s="138" t="s">
        <v>721</v>
      </c>
      <c r="C95" s="298"/>
      <c r="D95" s="321">
        <v>-5088</v>
      </c>
      <c r="E95" s="156"/>
      <c r="F95" s="162"/>
      <c r="G95" s="72"/>
      <c r="I95" s="51"/>
    </row>
    <row r="96" spans="1:9">
      <c r="A96" s="72"/>
      <c r="B96" s="138" t="s">
        <v>912</v>
      </c>
      <c r="C96" s="298"/>
      <c r="D96" s="162">
        <f>SUM(D93:D95)</f>
        <v>3997</v>
      </c>
      <c r="E96" s="156"/>
      <c r="F96" s="162"/>
      <c r="G96" s="72"/>
      <c r="I96" s="51"/>
    </row>
    <row r="97" spans="1:9">
      <c r="A97" s="72"/>
      <c r="B97" s="138" t="s">
        <v>717</v>
      </c>
      <c r="C97" s="298"/>
      <c r="D97" s="162"/>
      <c r="E97" s="162"/>
      <c r="F97" s="162"/>
      <c r="G97" s="72"/>
      <c r="I97" s="51"/>
    </row>
    <row r="98" spans="1:9">
      <c r="A98" s="72"/>
      <c r="B98" s="64"/>
      <c r="C98" s="298"/>
      <c r="D98" s="162"/>
      <c r="E98" s="162"/>
      <c r="F98" s="162"/>
      <c r="G98" s="72"/>
      <c r="I98" s="51"/>
    </row>
    <row r="99" spans="1:9">
      <c r="A99" s="72"/>
      <c r="B99" s="312" t="s">
        <v>718</v>
      </c>
      <c r="C99" s="298"/>
      <c r="D99" s="162"/>
      <c r="E99" s="162"/>
      <c r="F99" s="162"/>
      <c r="G99" s="72"/>
      <c r="I99" s="51"/>
    </row>
    <row r="100" spans="1:9">
      <c r="A100" s="72"/>
      <c r="B100" s="138" t="s">
        <v>720</v>
      </c>
      <c r="C100" s="298"/>
      <c r="D100" s="299">
        <v>75000</v>
      </c>
      <c r="E100" s="162"/>
      <c r="F100" s="162"/>
      <c r="G100" s="72"/>
      <c r="I100" s="51"/>
    </row>
    <row r="101" spans="1:9">
      <c r="A101" s="72"/>
      <c r="B101" s="138" t="s">
        <v>800</v>
      </c>
      <c r="C101" s="298"/>
      <c r="D101" s="299">
        <v>-47500</v>
      </c>
      <c r="E101" s="162"/>
      <c r="F101" s="162"/>
      <c r="G101" s="72"/>
      <c r="I101" s="51"/>
    </row>
    <row r="102" spans="1:9">
      <c r="A102" s="72"/>
      <c r="B102" s="138" t="s">
        <v>721</v>
      </c>
      <c r="C102" s="298"/>
      <c r="D102" s="300">
        <v>-15000</v>
      </c>
      <c r="E102" s="162"/>
      <c r="F102" s="162"/>
      <c r="G102" s="72"/>
      <c r="I102" s="51"/>
    </row>
    <row r="103" spans="1:9">
      <c r="A103" s="72"/>
      <c r="B103" s="138" t="s">
        <v>912</v>
      </c>
      <c r="C103" s="298"/>
      <c r="D103" s="299">
        <f>SUM(D100:D102)</f>
        <v>12500</v>
      </c>
      <c r="E103" s="299"/>
      <c r="F103" s="162"/>
      <c r="G103" s="72"/>
      <c r="I103" s="51"/>
    </row>
    <row r="104" spans="1:9">
      <c r="A104" s="72"/>
      <c r="B104" s="138" t="s">
        <v>722</v>
      </c>
      <c r="C104" s="298"/>
      <c r="D104" s="162"/>
      <c r="E104" s="162"/>
      <c r="F104" s="162"/>
      <c r="G104" s="72"/>
      <c r="I104" s="51"/>
    </row>
    <row r="105" spans="1:9">
      <c r="A105" s="72"/>
      <c r="B105" s="64"/>
      <c r="C105" s="298"/>
      <c r="D105" s="162"/>
      <c r="E105" s="162"/>
      <c r="F105" s="162"/>
      <c r="G105" s="72"/>
      <c r="I105" s="51"/>
    </row>
    <row r="106" spans="1:9">
      <c r="A106" s="72"/>
      <c r="B106" s="312" t="s">
        <v>723</v>
      </c>
      <c r="C106" s="298"/>
      <c r="D106" s="162"/>
      <c r="E106" s="162"/>
      <c r="F106" s="162"/>
      <c r="G106" s="72"/>
      <c r="I106" s="51"/>
    </row>
    <row r="107" spans="1:9">
      <c r="A107" s="72"/>
      <c r="B107" s="138" t="s">
        <v>802</v>
      </c>
      <c r="C107" s="298"/>
      <c r="D107" s="299">
        <v>183774.94</v>
      </c>
      <c r="E107" s="162"/>
      <c r="F107" s="162"/>
      <c r="G107" s="72"/>
      <c r="I107" s="51"/>
    </row>
    <row r="108" spans="1:9">
      <c r="A108" s="72"/>
      <c r="B108" s="138" t="s">
        <v>724</v>
      </c>
      <c r="C108" s="298"/>
      <c r="D108" s="299">
        <v>-60000</v>
      </c>
      <c r="E108" s="162"/>
      <c r="F108" s="162"/>
      <c r="G108" s="72"/>
      <c r="I108" s="51"/>
    </row>
    <row r="109" spans="1:9">
      <c r="A109" s="72"/>
      <c r="B109" s="138" t="s">
        <v>801</v>
      </c>
      <c r="C109" s="298"/>
      <c r="D109" s="322">
        <v>-80460.94</v>
      </c>
      <c r="E109" s="162"/>
      <c r="F109" s="162"/>
      <c r="G109" s="72"/>
      <c r="I109" s="51"/>
    </row>
    <row r="110" spans="1:9">
      <c r="A110" s="72"/>
      <c r="B110" s="138" t="s">
        <v>721</v>
      </c>
      <c r="C110" s="298"/>
      <c r="D110" s="300">
        <v>-24755</v>
      </c>
      <c r="E110" s="162"/>
      <c r="F110" s="162"/>
      <c r="G110" s="72"/>
      <c r="I110" s="51"/>
    </row>
    <row r="111" spans="1:9">
      <c r="A111" s="72"/>
      <c r="B111" s="138" t="s">
        <v>912</v>
      </c>
      <c r="C111" s="298"/>
      <c r="D111" s="299">
        <f>SUM(D107:D110)</f>
        <v>18559</v>
      </c>
      <c r="E111" s="299"/>
      <c r="F111" s="162"/>
      <c r="G111" s="72"/>
      <c r="I111" s="51"/>
    </row>
    <row r="112" spans="1:9">
      <c r="A112" s="72"/>
      <c r="B112" s="138" t="s">
        <v>725</v>
      </c>
      <c r="C112" s="298"/>
      <c r="D112" s="162"/>
      <c r="E112" s="162"/>
      <c r="F112" s="162"/>
      <c r="G112" s="72"/>
      <c r="I112" s="51"/>
    </row>
    <row r="113" spans="1:9" ht="13.5" customHeight="1">
      <c r="A113" s="72"/>
      <c r="B113" s="138"/>
      <c r="C113" s="298"/>
      <c r="D113" s="162"/>
      <c r="E113" s="162"/>
      <c r="F113" s="162"/>
      <c r="G113" s="72"/>
      <c r="I113" s="51"/>
    </row>
    <row r="114" spans="1:9">
      <c r="A114" s="72"/>
      <c r="B114" s="312" t="s">
        <v>850</v>
      </c>
      <c r="C114" s="298"/>
      <c r="D114" s="162"/>
      <c r="E114" s="162"/>
      <c r="F114" s="162"/>
      <c r="G114" s="72"/>
      <c r="I114" s="51"/>
    </row>
    <row r="115" spans="1:9">
      <c r="A115" s="72"/>
      <c r="B115" s="138" t="s">
        <v>851</v>
      </c>
      <c r="C115" s="298"/>
      <c r="D115" s="162">
        <v>62110</v>
      </c>
      <c r="E115" s="162"/>
      <c r="F115" s="162"/>
      <c r="G115" s="72"/>
      <c r="I115" s="51"/>
    </row>
    <row r="116" spans="1:9">
      <c r="A116" s="72"/>
      <c r="B116" s="138" t="s">
        <v>801</v>
      </c>
      <c r="C116" s="298"/>
      <c r="D116" s="323">
        <v>-27604</v>
      </c>
      <c r="E116" s="162"/>
      <c r="F116" s="162"/>
      <c r="G116" s="72"/>
      <c r="I116" s="51"/>
    </row>
    <row r="117" spans="1:9" ht="13.8" thickBot="1">
      <c r="A117" s="72"/>
      <c r="B117" s="138" t="s">
        <v>721</v>
      </c>
      <c r="C117" s="298"/>
      <c r="D117" s="324">
        <v>-20703</v>
      </c>
      <c r="E117" s="162"/>
      <c r="F117" s="162"/>
      <c r="G117" s="72"/>
      <c r="I117" s="51"/>
    </row>
    <row r="118" spans="1:9">
      <c r="A118" s="72"/>
      <c r="B118" s="138" t="s">
        <v>912</v>
      </c>
      <c r="C118" s="298"/>
      <c r="D118" s="162">
        <f>SUM(D115:D117)</f>
        <v>13803</v>
      </c>
      <c r="E118" s="162"/>
      <c r="F118" s="162"/>
      <c r="G118" s="72"/>
      <c r="I118" s="51"/>
    </row>
    <row r="119" spans="1:9">
      <c r="A119" s="72"/>
      <c r="B119" s="138" t="s">
        <v>852</v>
      </c>
      <c r="C119" s="298"/>
      <c r="D119" s="162"/>
      <c r="E119" s="162"/>
      <c r="F119" s="162"/>
      <c r="G119" s="72"/>
      <c r="I119" s="51"/>
    </row>
    <row r="120" spans="1:9">
      <c r="A120" s="72"/>
      <c r="B120" s="138"/>
      <c r="C120" s="298"/>
      <c r="D120" s="162"/>
      <c r="E120" s="162"/>
      <c r="F120" s="162"/>
      <c r="G120" s="72"/>
      <c r="I120" s="51"/>
    </row>
    <row r="121" spans="1:9">
      <c r="A121" s="72"/>
      <c r="B121" s="312" t="s">
        <v>864</v>
      </c>
      <c r="C121" s="298"/>
      <c r="D121" s="162"/>
      <c r="E121" s="162"/>
      <c r="F121" s="162"/>
      <c r="G121" s="72"/>
      <c r="I121" s="51"/>
    </row>
    <row r="122" spans="1:9">
      <c r="A122" s="72"/>
      <c r="B122" s="138" t="s">
        <v>881</v>
      </c>
      <c r="C122" s="298"/>
      <c r="D122" s="162">
        <v>42985.73</v>
      </c>
      <c r="E122" s="162"/>
      <c r="F122" s="162"/>
      <c r="G122" s="72"/>
      <c r="I122" s="51"/>
    </row>
    <row r="123" spans="1:9">
      <c r="A123" s="72"/>
      <c r="B123" s="138" t="s">
        <v>801</v>
      </c>
      <c r="C123" s="298"/>
      <c r="D123" s="162">
        <v>0</v>
      </c>
      <c r="E123" s="162"/>
      <c r="F123" s="162"/>
      <c r="G123" s="72"/>
      <c r="I123" s="51"/>
    </row>
    <row r="124" spans="1:9" ht="13.8" thickBot="1">
      <c r="A124" s="72"/>
      <c r="B124" s="138" t="s">
        <v>721</v>
      </c>
      <c r="C124" s="298"/>
      <c r="D124" s="324">
        <v>-8597.15</v>
      </c>
      <c r="E124" s="162"/>
      <c r="F124" s="162"/>
      <c r="G124" s="72"/>
      <c r="I124" s="51"/>
    </row>
    <row r="125" spans="1:9">
      <c r="A125" s="72"/>
      <c r="B125" s="138" t="s">
        <v>912</v>
      </c>
      <c r="C125" s="298"/>
      <c r="D125" s="162">
        <f>SUM(D122:D124)</f>
        <v>34388.58</v>
      </c>
      <c r="E125" s="162"/>
      <c r="F125" s="162"/>
      <c r="G125" s="72"/>
      <c r="I125" s="51"/>
    </row>
    <row r="126" spans="1:9">
      <c r="A126" s="72"/>
      <c r="B126" s="138" t="s">
        <v>882</v>
      </c>
      <c r="C126" s="298"/>
      <c r="D126" s="162"/>
      <c r="E126" s="162"/>
      <c r="F126" s="162"/>
      <c r="G126" s="72"/>
      <c r="I126" s="51"/>
    </row>
    <row r="127" spans="1:9">
      <c r="A127" s="72"/>
      <c r="B127" s="138"/>
      <c r="C127" s="298"/>
      <c r="D127" s="162"/>
      <c r="E127" s="162"/>
      <c r="F127" s="162"/>
      <c r="G127" s="72"/>
      <c r="I127" s="51"/>
    </row>
    <row r="128" spans="1:9">
      <c r="A128" s="72"/>
      <c r="B128" s="312" t="s">
        <v>915</v>
      </c>
      <c r="C128" s="298"/>
      <c r="D128" s="162"/>
      <c r="E128" s="162"/>
      <c r="F128" s="162"/>
      <c r="G128" s="72"/>
      <c r="I128" s="51"/>
    </row>
    <row r="129" spans="1:9">
      <c r="A129" s="72"/>
      <c r="B129" s="138" t="s">
        <v>916</v>
      </c>
      <c r="C129" s="298"/>
      <c r="D129" s="162">
        <v>177181.26</v>
      </c>
      <c r="E129" s="162"/>
      <c r="F129" s="162"/>
      <c r="G129" s="72"/>
      <c r="I129" s="51"/>
    </row>
    <row r="130" spans="1:9">
      <c r="A130" s="72"/>
      <c r="B130" s="138" t="s">
        <v>801</v>
      </c>
      <c r="C130" s="298"/>
      <c r="D130" s="162">
        <v>0</v>
      </c>
      <c r="E130" s="162"/>
      <c r="F130" s="162"/>
      <c r="G130" s="72"/>
      <c r="I130" s="51"/>
    </row>
    <row r="131" spans="1:9">
      <c r="A131" s="72"/>
      <c r="B131" s="138" t="s">
        <v>721</v>
      </c>
      <c r="C131" s="298"/>
      <c r="D131" s="321">
        <v>-26568.19</v>
      </c>
      <c r="E131" s="162"/>
      <c r="F131" s="162"/>
      <c r="G131" s="72"/>
      <c r="I131" s="51"/>
    </row>
    <row r="132" spans="1:9">
      <c r="A132" s="72"/>
      <c r="B132" s="138" t="s">
        <v>912</v>
      </c>
      <c r="C132" s="298"/>
      <c r="D132" s="162">
        <f>SUM(D129:D131)</f>
        <v>150613.07</v>
      </c>
      <c r="E132" s="162"/>
      <c r="F132" s="162"/>
      <c r="G132" s="72"/>
      <c r="I132" s="51"/>
    </row>
    <row r="133" spans="1:9">
      <c r="A133" s="72"/>
      <c r="B133" s="138"/>
      <c r="C133" s="298"/>
      <c r="D133" s="162"/>
      <c r="E133" s="162"/>
      <c r="F133" s="162"/>
      <c r="G133" s="72"/>
      <c r="I133" s="51"/>
    </row>
    <row r="134" spans="1:9">
      <c r="A134" s="72"/>
      <c r="B134" s="64"/>
      <c r="C134" s="298"/>
      <c r="D134" s="162"/>
      <c r="E134" s="162"/>
      <c r="F134" s="162"/>
      <c r="G134" s="72"/>
      <c r="I134" s="51"/>
    </row>
    <row r="135" spans="1:9">
      <c r="A135" s="163" t="s">
        <v>475</v>
      </c>
      <c r="B135" s="312" t="s">
        <v>476</v>
      </c>
      <c r="C135" s="156"/>
      <c r="D135" s="156"/>
      <c r="E135" s="156"/>
      <c r="F135" s="156"/>
      <c r="G135" s="65"/>
    </row>
    <row r="136" spans="1:9">
      <c r="A136" s="72"/>
      <c r="B136" s="138" t="s">
        <v>917</v>
      </c>
      <c r="C136" s="156"/>
      <c r="D136" s="156"/>
      <c r="E136" s="156"/>
      <c r="F136" s="156"/>
      <c r="G136" s="65"/>
    </row>
    <row r="137" spans="1:9">
      <c r="A137" s="72"/>
      <c r="B137" s="138" t="s">
        <v>918</v>
      </c>
      <c r="C137" s="156"/>
      <c r="D137" s="156"/>
      <c r="E137" s="156"/>
      <c r="F137" s="156"/>
      <c r="G137" s="65"/>
    </row>
    <row r="138" spans="1:9">
      <c r="A138" s="65"/>
      <c r="B138" s="64"/>
      <c r="C138" s="156"/>
      <c r="D138" s="156"/>
      <c r="E138" s="156"/>
      <c r="F138" s="156"/>
      <c r="G138" s="65"/>
    </row>
    <row r="139" spans="1:9">
      <c r="A139" s="65"/>
      <c r="B139" s="64"/>
      <c r="C139" s="156"/>
      <c r="D139" s="156"/>
      <c r="E139" s="156"/>
      <c r="F139" s="156"/>
      <c r="G139" s="65"/>
    </row>
    <row r="140" spans="1:9">
      <c r="A140" s="336" t="s">
        <v>477</v>
      </c>
      <c r="B140" s="312" t="s">
        <v>478</v>
      </c>
      <c r="C140" s="156"/>
      <c r="D140" s="156"/>
      <c r="E140" s="156"/>
      <c r="F140" s="156"/>
      <c r="G140" s="65"/>
    </row>
    <row r="141" spans="1:9">
      <c r="A141" s="65"/>
      <c r="B141" s="72" t="s">
        <v>527</v>
      </c>
      <c r="C141" s="305" t="s">
        <v>919</v>
      </c>
      <c r="D141" s="325" t="s">
        <v>534</v>
      </c>
      <c r="E141" s="326" t="s">
        <v>920</v>
      </c>
      <c r="F141" s="162"/>
      <c r="G141" s="65"/>
      <c r="I141" s="51"/>
    </row>
    <row r="142" spans="1:9">
      <c r="A142" s="65"/>
      <c r="B142" s="72" t="s">
        <v>528</v>
      </c>
      <c r="C142" s="162">
        <v>-541013.30000000005</v>
      </c>
      <c r="D142" s="162"/>
      <c r="E142" s="298">
        <f>C142</f>
        <v>-541013.30000000005</v>
      </c>
      <c r="F142" s="162"/>
      <c r="G142" s="65"/>
      <c r="I142" s="51"/>
    </row>
    <row r="143" spans="1:9">
      <c r="A143" s="65"/>
      <c r="B143" s="327" t="s">
        <v>126</v>
      </c>
      <c r="C143" s="321">
        <v>-96296.55</v>
      </c>
      <c r="D143" s="321"/>
      <c r="E143" s="302">
        <f>C143</f>
        <v>-96296.55</v>
      </c>
      <c r="F143" s="162"/>
      <c r="G143" s="65"/>
      <c r="I143" s="51"/>
    </row>
    <row r="144" spans="1:9">
      <c r="A144" s="65"/>
      <c r="B144" s="327"/>
      <c r="C144" s="162"/>
      <c r="D144" s="162"/>
      <c r="E144" s="301"/>
      <c r="F144" s="162"/>
      <c r="G144" s="65"/>
      <c r="I144" s="51"/>
    </row>
    <row r="145" spans="1:10">
      <c r="A145" s="65"/>
      <c r="B145" s="327" t="s">
        <v>921</v>
      </c>
      <c r="C145" s="162">
        <f>SUM(C142:C144)</f>
        <v>-637309.85000000009</v>
      </c>
      <c r="D145" s="162">
        <f>SUM(D142:D144)</f>
        <v>0</v>
      </c>
      <c r="E145" s="298">
        <f>SUM(E141:E144)</f>
        <v>-637309.85000000009</v>
      </c>
      <c r="F145" s="162" t="s">
        <v>374</v>
      </c>
      <c r="G145" s="65"/>
      <c r="I145" s="51"/>
    </row>
    <row r="146" spans="1:10">
      <c r="A146" s="65"/>
      <c r="B146" s="141" t="s">
        <v>374</v>
      </c>
      <c r="C146" s="303" t="s">
        <v>374</v>
      </c>
      <c r="D146" s="156"/>
      <c r="E146" s="162"/>
      <c r="F146" s="162"/>
      <c r="G146" s="65"/>
      <c r="I146" s="51"/>
    </row>
    <row r="147" spans="1:10">
      <c r="A147" s="65"/>
      <c r="B147" s="65"/>
      <c r="C147" s="304" t="s">
        <v>919</v>
      </c>
      <c r="D147" s="304" t="s">
        <v>532</v>
      </c>
      <c r="E147" s="305" t="s">
        <v>920</v>
      </c>
      <c r="F147" s="162"/>
      <c r="G147" s="65"/>
      <c r="I147" s="51"/>
    </row>
    <row r="148" spans="1:10">
      <c r="A148" s="65"/>
      <c r="B148" s="327" t="s">
        <v>432</v>
      </c>
      <c r="C148" s="306">
        <f>-2551238.58+0.41</f>
        <v>-2551238.17</v>
      </c>
      <c r="D148" s="306">
        <v>-1242461.47</v>
      </c>
      <c r="E148" s="306">
        <f>SUM(C148:D148)</f>
        <v>-3793699.6399999997</v>
      </c>
      <c r="F148" s="162"/>
      <c r="G148" s="292"/>
      <c r="I148" s="51"/>
    </row>
    <row r="149" spans="1:10">
      <c r="A149" s="65"/>
      <c r="B149" s="141"/>
      <c r="C149" s="307"/>
      <c r="D149" s="307"/>
      <c r="E149" s="307"/>
      <c r="F149" s="162"/>
      <c r="G149" s="65"/>
      <c r="H149" s="65"/>
    </row>
    <row r="150" spans="1:10">
      <c r="A150" s="65"/>
      <c r="B150" s="328" t="s">
        <v>922</v>
      </c>
      <c r="C150" s="307">
        <f t="shared" ref="C150:D150" si="0">C145+C148</f>
        <v>-3188548.02</v>
      </c>
      <c r="D150" s="307">
        <f t="shared" si="0"/>
        <v>-1242461.47</v>
      </c>
      <c r="E150" s="307">
        <f>E145+E148</f>
        <v>-4431009.49</v>
      </c>
      <c r="F150" s="162"/>
      <c r="G150" s="65"/>
      <c r="H150" s="65"/>
    </row>
    <row r="151" spans="1:10">
      <c r="A151" s="65"/>
      <c r="B151" s="328"/>
      <c r="C151" s="307"/>
      <c r="D151" s="307"/>
      <c r="E151" s="307"/>
      <c r="F151" s="162"/>
      <c r="G151" s="65"/>
      <c r="H151" s="65"/>
    </row>
    <row r="152" spans="1:10">
      <c r="A152" s="72"/>
      <c r="B152" s="64"/>
      <c r="C152" s="162"/>
      <c r="D152" s="162"/>
      <c r="E152" s="162"/>
      <c r="F152" s="298"/>
      <c r="G152" s="72"/>
      <c r="H152" s="57"/>
      <c r="I152" s="51"/>
    </row>
    <row r="153" spans="1:10">
      <c r="A153" s="146" t="s">
        <v>810</v>
      </c>
      <c r="B153" s="65"/>
      <c r="C153" s="156"/>
      <c r="D153" s="156"/>
      <c r="E153" s="156"/>
      <c r="F153" s="156"/>
      <c r="G153" s="65"/>
    </row>
    <row r="154" spans="1:10">
      <c r="A154" s="146" t="s">
        <v>760</v>
      </c>
      <c r="B154" s="65"/>
      <c r="C154" s="156"/>
      <c r="D154" s="156"/>
      <c r="E154" s="156"/>
      <c r="F154" s="156"/>
      <c r="G154" s="65"/>
    </row>
    <row r="155" spans="1:10">
      <c r="A155" s="146" t="s">
        <v>761</v>
      </c>
      <c r="B155" s="65"/>
      <c r="C155" s="156"/>
      <c r="D155" s="156"/>
      <c r="E155" s="156"/>
      <c r="F155" s="156"/>
      <c r="G155" s="65"/>
    </row>
    <row r="156" spans="1:10">
      <c r="A156" s="65"/>
      <c r="B156" s="65"/>
      <c r="C156" s="156"/>
      <c r="D156" s="156"/>
      <c r="E156" s="156"/>
      <c r="F156" s="156"/>
      <c r="G156" s="65"/>
    </row>
    <row r="157" spans="1:10">
      <c r="A157" s="381" t="s">
        <v>757</v>
      </c>
      <c r="B157" s="381" t="s">
        <v>1</v>
      </c>
      <c r="C157" s="379" t="s">
        <v>927</v>
      </c>
      <c r="D157" s="383" t="s">
        <v>755</v>
      </c>
      <c r="E157" s="385" t="s">
        <v>890</v>
      </c>
      <c r="F157" s="379" t="s">
        <v>928</v>
      </c>
      <c r="G157" s="65"/>
    </row>
    <row r="158" spans="1:10" ht="13.8" thickBot="1">
      <c r="A158" s="382"/>
      <c r="B158" s="382"/>
      <c r="C158" s="380"/>
      <c r="D158" s="384"/>
      <c r="E158" s="386"/>
      <c r="F158" s="380"/>
      <c r="G158" s="65"/>
    </row>
    <row r="159" spans="1:10">
      <c r="A159" s="337">
        <v>2001</v>
      </c>
      <c r="B159" s="329" t="s">
        <v>566</v>
      </c>
      <c r="C159" s="308">
        <v>-30686.45</v>
      </c>
      <c r="D159" s="308">
        <v>0</v>
      </c>
      <c r="E159" s="309">
        <v>-10463.49</v>
      </c>
      <c r="F159" s="330">
        <f>SUM(C159:E159)</f>
        <v>-41149.94</v>
      </c>
      <c r="G159" s="65"/>
      <c r="I159" s="292"/>
      <c r="J159" s="78"/>
    </row>
    <row r="160" spans="1:10">
      <c r="A160" s="338">
        <v>2002</v>
      </c>
      <c r="B160" s="268" t="s">
        <v>58</v>
      </c>
      <c r="C160" s="310">
        <v>-8679.6200000000008</v>
      </c>
      <c r="D160" s="310">
        <v>0</v>
      </c>
      <c r="E160" s="311">
        <v>-18193.93</v>
      </c>
      <c r="F160" s="331">
        <f t="shared" ref="F160:F207" si="1">SUM(C160:E160)</f>
        <v>-26873.550000000003</v>
      </c>
      <c r="G160" s="65"/>
      <c r="I160" s="292"/>
      <c r="J160" s="78"/>
    </row>
    <row r="161" spans="1:18">
      <c r="A161" s="338">
        <v>2003</v>
      </c>
      <c r="B161" s="268" t="s">
        <v>60</v>
      </c>
      <c r="C161" s="310">
        <v>-44503.46</v>
      </c>
      <c r="D161" s="310">
        <v>0</v>
      </c>
      <c r="E161" s="311">
        <v>27273.62</v>
      </c>
      <c r="F161" s="331">
        <f t="shared" si="1"/>
        <v>-17229.84</v>
      </c>
      <c r="G161" s="65"/>
      <c r="I161" s="292"/>
      <c r="J161" s="78"/>
    </row>
    <row r="162" spans="1:18">
      <c r="A162" s="338">
        <v>2004</v>
      </c>
      <c r="B162" s="268" t="s">
        <v>62</v>
      </c>
      <c r="C162" s="310">
        <v>-49364.53</v>
      </c>
      <c r="D162" s="310">
        <v>0</v>
      </c>
      <c r="E162" s="311">
        <v>-8705.6</v>
      </c>
      <c r="F162" s="331">
        <f t="shared" si="1"/>
        <v>-58070.13</v>
      </c>
      <c r="G162" s="65"/>
      <c r="I162" s="292"/>
      <c r="J162" s="78"/>
    </row>
    <row r="163" spans="1:18">
      <c r="A163" s="338">
        <v>2005</v>
      </c>
      <c r="B163" s="268" t="s">
        <v>64</v>
      </c>
      <c r="C163" s="310">
        <v>15210.78</v>
      </c>
      <c r="D163" s="310">
        <v>0</v>
      </c>
      <c r="E163" s="311">
        <v>1599.81</v>
      </c>
      <c r="F163" s="331">
        <f t="shared" si="1"/>
        <v>16810.59</v>
      </c>
      <c r="G163" s="65"/>
      <c r="I163" s="292"/>
      <c r="J163" s="78"/>
    </row>
    <row r="164" spans="1:18">
      <c r="A164" s="338">
        <v>2006</v>
      </c>
      <c r="B164" s="268" t="s">
        <v>66</v>
      </c>
      <c r="C164" s="310">
        <v>-96702.54</v>
      </c>
      <c r="D164" s="310">
        <v>0</v>
      </c>
      <c r="E164" s="311">
        <v>13700.84</v>
      </c>
      <c r="F164" s="331">
        <f t="shared" si="1"/>
        <v>-83001.7</v>
      </c>
      <c r="G164" s="65"/>
      <c r="I164" s="292"/>
      <c r="J164" s="78"/>
      <c r="R164" s="65"/>
    </row>
    <row r="165" spans="1:18">
      <c r="A165" s="338">
        <v>2007</v>
      </c>
      <c r="B165" s="268" t="s">
        <v>68</v>
      </c>
      <c r="C165" s="310">
        <v>-34033.279999999999</v>
      </c>
      <c r="D165" s="310">
        <v>0</v>
      </c>
      <c r="E165" s="311">
        <v>-1075.82</v>
      </c>
      <c r="F165" s="331">
        <f t="shared" si="1"/>
        <v>-35109.1</v>
      </c>
      <c r="G165" s="65"/>
      <c r="I165" s="292"/>
      <c r="J165" s="78"/>
    </row>
    <row r="166" spans="1:18">
      <c r="A166" s="338">
        <v>2008</v>
      </c>
      <c r="B166" s="268" t="s">
        <v>70</v>
      </c>
      <c r="C166" s="310">
        <v>19459.95</v>
      </c>
      <c r="D166" s="310">
        <v>0</v>
      </c>
      <c r="E166" s="311">
        <v>0</v>
      </c>
      <c r="F166" s="331">
        <f t="shared" si="1"/>
        <v>19459.95</v>
      </c>
      <c r="G166" s="65"/>
      <c r="I166" s="292"/>
      <c r="J166" s="78"/>
    </row>
    <row r="167" spans="1:18">
      <c r="A167" s="338">
        <v>2009</v>
      </c>
      <c r="B167" s="268" t="s">
        <v>567</v>
      </c>
      <c r="C167" s="310">
        <v>-104843.94</v>
      </c>
      <c r="D167" s="310">
        <v>0</v>
      </c>
      <c r="E167" s="311">
        <v>-75573.42</v>
      </c>
      <c r="F167" s="331">
        <f t="shared" si="1"/>
        <v>-180417.36</v>
      </c>
      <c r="G167" s="65"/>
      <c r="I167" s="292"/>
      <c r="J167" s="78"/>
    </row>
    <row r="168" spans="1:18">
      <c r="A168" s="338">
        <v>2010</v>
      </c>
      <c r="B168" s="268" t="s">
        <v>74</v>
      </c>
      <c r="C168" s="310">
        <v>-18110.89</v>
      </c>
      <c r="D168" s="310">
        <v>0</v>
      </c>
      <c r="E168" s="311">
        <v>46392.26</v>
      </c>
      <c r="F168" s="331">
        <f t="shared" si="1"/>
        <v>28281.370000000003</v>
      </c>
      <c r="G168" s="65"/>
      <c r="I168" s="292"/>
      <c r="J168" s="78"/>
    </row>
    <row r="169" spans="1:18">
      <c r="A169" s="338">
        <v>2011</v>
      </c>
      <c r="B169" s="268" t="s">
        <v>76</v>
      </c>
      <c r="C169" s="310">
        <v>-9737.3799999999992</v>
      </c>
      <c r="D169" s="310">
        <v>0</v>
      </c>
      <c r="E169" s="311">
        <v>7985</v>
      </c>
      <c r="F169" s="331">
        <f t="shared" si="1"/>
        <v>-1752.3799999999992</v>
      </c>
      <c r="G169" s="65"/>
      <c r="I169" s="292"/>
      <c r="J169" s="78"/>
    </row>
    <row r="170" spans="1:18">
      <c r="A170" s="338">
        <v>2012</v>
      </c>
      <c r="B170" s="268" t="s">
        <v>78</v>
      </c>
      <c r="C170" s="310">
        <v>228160.4</v>
      </c>
      <c r="D170" s="310">
        <v>0</v>
      </c>
      <c r="E170" s="311">
        <v>82565.94</v>
      </c>
      <c r="F170" s="331">
        <f t="shared" si="1"/>
        <v>310726.33999999997</v>
      </c>
      <c r="G170" s="65"/>
      <c r="I170" s="292"/>
      <c r="J170" s="78"/>
    </row>
    <row r="171" spans="1:18">
      <c r="A171" s="338">
        <v>2013</v>
      </c>
      <c r="B171" s="268" t="s">
        <v>80</v>
      </c>
      <c r="C171" s="310">
        <v>21957.63</v>
      </c>
      <c r="D171" s="310">
        <v>0</v>
      </c>
      <c r="E171" s="311">
        <v>-20008.95</v>
      </c>
      <c r="F171" s="331">
        <f t="shared" si="1"/>
        <v>1948.6800000000003</v>
      </c>
      <c r="G171" s="65"/>
      <c r="I171" s="292"/>
      <c r="J171" s="78"/>
    </row>
    <row r="172" spans="1:18">
      <c r="A172" s="338">
        <v>2014</v>
      </c>
      <c r="B172" s="268" t="s">
        <v>82</v>
      </c>
      <c r="C172" s="310">
        <v>-26864.79</v>
      </c>
      <c r="D172" s="310">
        <v>0</v>
      </c>
      <c r="E172" s="311">
        <v>-4635.5</v>
      </c>
      <c r="F172" s="331">
        <f t="shared" si="1"/>
        <v>-31500.29</v>
      </c>
      <c r="G172" s="65"/>
      <c r="I172" s="292"/>
      <c r="J172" s="78"/>
    </row>
    <row r="173" spans="1:18">
      <c r="A173" s="338">
        <v>2015</v>
      </c>
      <c r="B173" s="268" t="s">
        <v>84</v>
      </c>
      <c r="C173" s="310">
        <v>757.35</v>
      </c>
      <c r="D173" s="310">
        <v>0</v>
      </c>
      <c r="E173" s="311">
        <v>-2100</v>
      </c>
      <c r="F173" s="331">
        <f t="shared" si="1"/>
        <v>-1342.65</v>
      </c>
      <c r="G173" s="65"/>
      <c r="I173" s="292"/>
      <c r="J173" s="78"/>
    </row>
    <row r="174" spans="1:18">
      <c r="A174" s="338">
        <v>2016</v>
      </c>
      <c r="B174" s="268" t="s">
        <v>86</v>
      </c>
      <c r="C174" s="310">
        <v>-52127.73</v>
      </c>
      <c r="D174" s="310">
        <v>0</v>
      </c>
      <c r="E174" s="311">
        <v>-16253.31</v>
      </c>
      <c r="F174" s="331">
        <f t="shared" si="1"/>
        <v>-68381.040000000008</v>
      </c>
      <c r="G174" s="65"/>
      <c r="I174" s="292"/>
      <c r="J174" s="78"/>
    </row>
    <row r="175" spans="1:18">
      <c r="A175" s="338">
        <v>2017</v>
      </c>
      <c r="B175" s="268" t="s">
        <v>88</v>
      </c>
      <c r="C175" s="310">
        <v>-2650.29</v>
      </c>
      <c r="D175" s="310">
        <v>0</v>
      </c>
      <c r="E175" s="311">
        <v>-77098.039999999994</v>
      </c>
      <c r="F175" s="331">
        <f t="shared" si="1"/>
        <v>-79748.329999999987</v>
      </c>
      <c r="G175" s="65"/>
      <c r="I175" s="292"/>
      <c r="J175" s="78"/>
    </row>
    <row r="176" spans="1:18">
      <c r="A176" s="338">
        <v>2018</v>
      </c>
      <c r="B176" s="268" t="s">
        <v>90</v>
      </c>
      <c r="C176" s="310">
        <v>-57419.79</v>
      </c>
      <c r="D176" s="310">
        <v>0</v>
      </c>
      <c r="E176" s="311">
        <v>21613.56</v>
      </c>
      <c r="F176" s="331">
        <f t="shared" si="1"/>
        <v>-35806.229999999996</v>
      </c>
      <c r="G176" s="65"/>
      <c r="I176" s="292"/>
      <c r="J176" s="78"/>
    </row>
    <row r="177" spans="1:12">
      <c r="A177" s="338">
        <v>2019</v>
      </c>
      <c r="B177" s="268" t="s">
        <v>811</v>
      </c>
      <c r="C177" s="310">
        <v>-24302.16</v>
      </c>
      <c r="D177" s="310">
        <v>0</v>
      </c>
      <c r="E177" s="311">
        <f>-12456.85+9000</f>
        <v>-3456.8500000000004</v>
      </c>
      <c r="F177" s="331">
        <f t="shared" si="1"/>
        <v>-27759.010000000002</v>
      </c>
      <c r="G177" s="65"/>
      <c r="H177" s="149"/>
      <c r="I177" s="292"/>
      <c r="J177" s="78"/>
    </row>
    <row r="178" spans="1:12">
      <c r="A178" s="338">
        <v>2020</v>
      </c>
      <c r="B178" s="268" t="s">
        <v>94</v>
      </c>
      <c r="C178" s="310">
        <v>-5232.37</v>
      </c>
      <c r="D178" s="310">
        <v>0</v>
      </c>
      <c r="E178" s="311">
        <v>-119.86</v>
      </c>
      <c r="F178" s="331">
        <f t="shared" si="1"/>
        <v>-5352.23</v>
      </c>
      <c r="G178" s="65"/>
      <c r="I178" s="292"/>
      <c r="J178" s="78"/>
    </row>
    <row r="179" spans="1:12">
      <c r="A179" s="338">
        <v>2021</v>
      </c>
      <c r="B179" s="268" t="s">
        <v>923</v>
      </c>
      <c r="C179" s="310">
        <v>0</v>
      </c>
      <c r="D179" s="310">
        <v>0</v>
      </c>
      <c r="E179" s="311">
        <v>13394.2</v>
      </c>
      <c r="F179" s="331">
        <f t="shared" si="1"/>
        <v>13394.2</v>
      </c>
      <c r="G179" s="65"/>
      <c r="I179" s="292"/>
      <c r="J179" s="78"/>
    </row>
    <row r="180" spans="1:12">
      <c r="A180" s="338">
        <v>2024</v>
      </c>
      <c r="B180" s="268" t="s">
        <v>96</v>
      </c>
      <c r="C180" s="310">
        <v>-74978.490000000005</v>
      </c>
      <c r="D180" s="310">
        <v>0</v>
      </c>
      <c r="E180" s="311">
        <v>116489</v>
      </c>
      <c r="F180" s="331">
        <f t="shared" si="1"/>
        <v>41510.509999999995</v>
      </c>
      <c r="G180" s="65"/>
      <c r="I180" s="292"/>
      <c r="J180" s="78"/>
    </row>
    <row r="181" spans="1:12">
      <c r="A181" s="338">
        <v>2025</v>
      </c>
      <c r="B181" s="268" t="s">
        <v>98</v>
      </c>
      <c r="C181" s="310">
        <v>-1021.61</v>
      </c>
      <c r="D181" s="310">
        <v>0</v>
      </c>
      <c r="E181" s="311">
        <v>0</v>
      </c>
      <c r="F181" s="331">
        <f t="shared" si="1"/>
        <v>-1021.61</v>
      </c>
      <c r="G181" s="65"/>
      <c r="I181" s="292"/>
      <c r="J181" s="78"/>
    </row>
    <row r="182" spans="1:12">
      <c r="A182" s="338">
        <v>2026</v>
      </c>
      <c r="B182" s="268" t="s">
        <v>100</v>
      </c>
      <c r="C182" s="310">
        <v>-13919.65</v>
      </c>
      <c r="D182" s="310">
        <v>0</v>
      </c>
      <c r="E182" s="311">
        <v>0</v>
      </c>
      <c r="F182" s="331">
        <f t="shared" si="1"/>
        <v>-13919.65</v>
      </c>
      <c r="G182" s="65"/>
      <c r="I182" s="292"/>
      <c r="J182" s="78"/>
    </row>
    <row r="183" spans="1:12">
      <c r="A183" s="338">
        <v>2027</v>
      </c>
      <c r="B183" s="268" t="s">
        <v>102</v>
      </c>
      <c r="C183" s="310">
        <v>-42034.27</v>
      </c>
      <c r="D183" s="310">
        <v>-0.6</v>
      </c>
      <c r="E183" s="311">
        <v>-58108.74</v>
      </c>
      <c r="F183" s="331">
        <f t="shared" si="1"/>
        <v>-100143.60999999999</v>
      </c>
      <c r="G183" s="65"/>
      <c r="H183" s="78"/>
      <c r="I183" s="292"/>
      <c r="J183" s="78"/>
      <c r="L183" s="78"/>
    </row>
    <row r="184" spans="1:12">
      <c r="A184" s="338">
        <v>2028</v>
      </c>
      <c r="B184" s="268" t="s">
        <v>569</v>
      </c>
      <c r="C184" s="310">
        <v>-13136.73</v>
      </c>
      <c r="D184" s="310">
        <v>0</v>
      </c>
      <c r="E184" s="311">
        <v>0</v>
      </c>
      <c r="F184" s="331">
        <f t="shared" si="1"/>
        <v>-13136.73</v>
      </c>
      <c r="G184" s="65"/>
      <c r="I184" s="292"/>
      <c r="J184" s="78"/>
    </row>
    <row r="185" spans="1:12">
      <c r="A185" s="338">
        <v>2029</v>
      </c>
      <c r="B185" s="268" t="s">
        <v>106</v>
      </c>
      <c r="C185" s="310">
        <v>-67233.37</v>
      </c>
      <c r="D185" s="310">
        <v>0</v>
      </c>
      <c r="E185" s="311">
        <v>-1120.23</v>
      </c>
      <c r="F185" s="331">
        <f t="shared" si="1"/>
        <v>-68353.599999999991</v>
      </c>
      <c r="G185" s="65"/>
      <c r="I185" s="292"/>
      <c r="J185" s="78"/>
    </row>
    <row r="186" spans="1:12">
      <c r="A186" s="338">
        <v>2030</v>
      </c>
      <c r="B186" s="268" t="s">
        <v>108</v>
      </c>
      <c r="C186" s="310">
        <v>-52823.16</v>
      </c>
      <c r="D186" s="310">
        <v>0</v>
      </c>
      <c r="E186" s="311">
        <v>9524.23</v>
      </c>
      <c r="F186" s="331">
        <f t="shared" si="1"/>
        <v>-43298.930000000008</v>
      </c>
      <c r="G186" s="65"/>
      <c r="I186" s="292"/>
      <c r="J186" s="78"/>
    </row>
    <row r="187" spans="1:12">
      <c r="A187" s="338">
        <v>2031</v>
      </c>
      <c r="B187" s="268" t="s">
        <v>570</v>
      </c>
      <c r="C187" s="310">
        <v>-146117.9</v>
      </c>
      <c r="D187" s="310">
        <v>0</v>
      </c>
      <c r="E187" s="311">
        <v>-1050.18</v>
      </c>
      <c r="F187" s="331">
        <f t="shared" si="1"/>
        <v>-147168.07999999999</v>
      </c>
      <c r="G187" s="65"/>
      <c r="I187" s="292"/>
      <c r="J187" s="78"/>
    </row>
    <row r="188" spans="1:12">
      <c r="A188" s="338">
        <v>2032</v>
      </c>
      <c r="B188" s="268" t="s">
        <v>112</v>
      </c>
      <c r="C188" s="310">
        <v>-6563.34</v>
      </c>
      <c r="D188" s="310">
        <v>0</v>
      </c>
      <c r="E188" s="311">
        <v>-2063</v>
      </c>
      <c r="F188" s="331">
        <f t="shared" si="1"/>
        <v>-8626.34</v>
      </c>
      <c r="G188" s="65"/>
      <c r="I188" s="292"/>
      <c r="J188" s="78"/>
    </row>
    <row r="189" spans="1:12">
      <c r="A189" s="338">
        <v>2033</v>
      </c>
      <c r="B189" s="268" t="s">
        <v>892</v>
      </c>
      <c r="C189" s="310">
        <v>-19351.310000000001</v>
      </c>
      <c r="D189" s="310">
        <v>0</v>
      </c>
      <c r="E189" s="311">
        <v>-255422.76</v>
      </c>
      <c r="F189" s="331">
        <f t="shared" si="1"/>
        <v>-274774.07</v>
      </c>
      <c r="G189" s="65"/>
      <c r="I189" s="292"/>
      <c r="J189" s="78"/>
    </row>
    <row r="190" spans="1:12">
      <c r="A190" s="338">
        <v>2034</v>
      </c>
      <c r="B190" s="268" t="s">
        <v>114</v>
      </c>
      <c r="C190" s="310">
        <v>-71967.429999999993</v>
      </c>
      <c r="D190" s="310">
        <v>0</v>
      </c>
      <c r="E190" s="311">
        <v>577.22</v>
      </c>
      <c r="F190" s="331">
        <f t="shared" si="1"/>
        <v>-71390.209999999992</v>
      </c>
      <c r="G190" s="65"/>
      <c r="I190" s="292"/>
      <c r="J190" s="78"/>
    </row>
    <row r="191" spans="1:12">
      <c r="A191" s="338">
        <v>2035</v>
      </c>
      <c r="B191" s="268" t="s">
        <v>116</v>
      </c>
      <c r="C191" s="310">
        <v>-105874.04</v>
      </c>
      <c r="D191" s="310">
        <v>0</v>
      </c>
      <c r="E191" s="311">
        <v>54636.75</v>
      </c>
      <c r="F191" s="331">
        <f t="shared" si="1"/>
        <v>-51237.289999999994</v>
      </c>
      <c r="G191" s="65"/>
      <c r="I191" s="292"/>
      <c r="J191" s="78"/>
    </row>
    <row r="192" spans="1:12">
      <c r="A192" s="338">
        <v>2036</v>
      </c>
      <c r="B192" s="268" t="s">
        <v>571</v>
      </c>
      <c r="C192" s="310">
        <v>-7188</v>
      </c>
      <c r="D192" s="310">
        <v>0</v>
      </c>
      <c r="E192" s="311">
        <v>-819</v>
      </c>
      <c r="F192" s="331">
        <f t="shared" si="1"/>
        <v>-8007</v>
      </c>
      <c r="G192" s="65"/>
      <c r="I192" s="292"/>
      <c r="J192" s="78"/>
    </row>
    <row r="193" spans="1:10">
      <c r="A193" s="338">
        <v>2037</v>
      </c>
      <c r="B193" s="268" t="s">
        <v>924</v>
      </c>
      <c r="C193" s="310">
        <v>-452811.5</v>
      </c>
      <c r="D193" s="310">
        <v>0</v>
      </c>
      <c r="E193" s="311">
        <v>24606.89</v>
      </c>
      <c r="F193" s="331">
        <f t="shared" si="1"/>
        <v>-428204.61</v>
      </c>
      <c r="G193" s="65"/>
      <c r="I193" s="292"/>
      <c r="J193" s="78"/>
    </row>
    <row r="194" spans="1:10">
      <c r="A194" s="338">
        <v>2038</v>
      </c>
      <c r="B194" s="268" t="s">
        <v>573</v>
      </c>
      <c r="C194" s="310">
        <v>-16405.759999999998</v>
      </c>
      <c r="D194" s="310">
        <v>0</v>
      </c>
      <c r="E194" s="311">
        <v>0</v>
      </c>
      <c r="F194" s="331">
        <f t="shared" si="1"/>
        <v>-16405.759999999998</v>
      </c>
      <c r="G194" s="65"/>
      <c r="I194" s="292"/>
      <c r="J194" s="78"/>
    </row>
    <row r="195" spans="1:10">
      <c r="A195" s="338">
        <v>2039</v>
      </c>
      <c r="B195" s="332" t="s">
        <v>751</v>
      </c>
      <c r="C195" s="310">
        <v>-59488.99</v>
      </c>
      <c r="D195" s="310">
        <v>0</v>
      </c>
      <c r="E195" s="311">
        <v>-30177.78</v>
      </c>
      <c r="F195" s="331">
        <f t="shared" si="1"/>
        <v>-89666.76999999999</v>
      </c>
      <c r="G195" s="65"/>
      <c r="I195" s="292"/>
      <c r="J195" s="78"/>
    </row>
    <row r="196" spans="1:10">
      <c r="A196" s="338">
        <v>2040</v>
      </c>
      <c r="B196" s="268" t="s">
        <v>528</v>
      </c>
      <c r="C196" s="310">
        <v>-541013.30000000005</v>
      </c>
      <c r="D196" s="310">
        <v>0</v>
      </c>
      <c r="E196" s="311">
        <v>0</v>
      </c>
      <c r="F196" s="331">
        <f t="shared" si="1"/>
        <v>-541013.30000000005</v>
      </c>
      <c r="G196" s="65"/>
      <c r="I196" s="292"/>
      <c r="J196" s="78"/>
    </row>
    <row r="197" spans="1:10">
      <c r="A197" s="338">
        <v>2041</v>
      </c>
      <c r="B197" s="268" t="s">
        <v>126</v>
      </c>
      <c r="C197" s="310">
        <v>-96296.55</v>
      </c>
      <c r="D197" s="310">
        <v>0</v>
      </c>
      <c r="E197" s="311">
        <v>0</v>
      </c>
      <c r="F197" s="331">
        <f t="shared" si="1"/>
        <v>-96296.55</v>
      </c>
      <c r="G197" s="65"/>
      <c r="I197" s="292"/>
      <c r="J197" s="78"/>
    </row>
    <row r="198" spans="1:10">
      <c r="A198" s="338">
        <v>2042</v>
      </c>
      <c r="B198" s="268" t="s">
        <v>893</v>
      </c>
      <c r="C198" s="310">
        <v>-27025.8</v>
      </c>
      <c r="D198" s="310">
        <v>0</v>
      </c>
      <c r="E198" s="311">
        <v>1000</v>
      </c>
      <c r="F198" s="331">
        <f t="shared" si="1"/>
        <v>-26025.8</v>
      </c>
      <c r="G198" s="65"/>
      <c r="I198" s="292"/>
      <c r="J198" s="78"/>
    </row>
    <row r="199" spans="1:10">
      <c r="A199" s="338">
        <v>2045</v>
      </c>
      <c r="B199" s="268" t="s">
        <v>128</v>
      </c>
      <c r="C199" s="310">
        <v>35486.9</v>
      </c>
      <c r="D199" s="310">
        <v>0</v>
      </c>
      <c r="E199" s="311">
        <v>0</v>
      </c>
      <c r="F199" s="331">
        <f t="shared" si="1"/>
        <v>35486.9</v>
      </c>
      <c r="G199" s="65"/>
      <c r="I199" s="292"/>
      <c r="J199" s="78"/>
    </row>
    <row r="200" spans="1:10">
      <c r="A200" s="338"/>
      <c r="B200" s="268" t="s">
        <v>752</v>
      </c>
      <c r="C200" s="310">
        <v>94204.99</v>
      </c>
      <c r="D200" s="310">
        <v>0.01</v>
      </c>
      <c r="E200" s="311">
        <v>0</v>
      </c>
      <c r="F200" s="331">
        <f t="shared" si="1"/>
        <v>94205</v>
      </c>
      <c r="G200" s="65"/>
      <c r="I200" s="292"/>
      <c r="J200" s="78"/>
    </row>
    <row r="201" spans="1:10">
      <c r="A201" s="338">
        <v>2047</v>
      </c>
      <c r="B201" s="268" t="s">
        <v>925</v>
      </c>
      <c r="C201" s="310">
        <v>0</v>
      </c>
      <c r="D201" s="310">
        <v>0</v>
      </c>
      <c r="E201" s="311">
        <v>13525.88</v>
      </c>
      <c r="F201" s="331">
        <f t="shared" si="1"/>
        <v>13525.88</v>
      </c>
      <c r="G201" s="65"/>
      <c r="I201" s="292"/>
      <c r="J201" s="78"/>
    </row>
    <row r="202" spans="1:10">
      <c r="A202" s="338">
        <v>2048</v>
      </c>
      <c r="B202" s="268" t="s">
        <v>926</v>
      </c>
      <c r="C202" s="310">
        <v>0</v>
      </c>
      <c r="D202" s="310">
        <v>0</v>
      </c>
      <c r="E202" s="311">
        <v>0</v>
      </c>
      <c r="F202" s="331">
        <f t="shared" si="1"/>
        <v>0</v>
      </c>
      <c r="G202" s="65"/>
      <c r="I202" s="292"/>
      <c r="J202" s="78"/>
    </row>
    <row r="203" spans="1:10">
      <c r="A203" s="338">
        <v>2050</v>
      </c>
      <c r="B203" s="268" t="s">
        <v>694</v>
      </c>
      <c r="C203" s="310">
        <v>115387.55</v>
      </c>
      <c r="D203" s="310">
        <v>0</v>
      </c>
      <c r="E203" s="311">
        <v>3082.79</v>
      </c>
      <c r="F203" s="331">
        <f t="shared" si="1"/>
        <v>118470.34</v>
      </c>
      <c r="G203" s="65"/>
      <c r="I203" s="292"/>
      <c r="J203" s="78"/>
    </row>
    <row r="204" spans="1:10">
      <c r="A204" s="338">
        <v>2055</v>
      </c>
      <c r="B204" s="268" t="s">
        <v>574</v>
      </c>
      <c r="C204" s="310">
        <v>224492.75</v>
      </c>
      <c r="D204" s="310">
        <v>0</v>
      </c>
      <c r="E204" s="311">
        <v>-622799.82999999996</v>
      </c>
      <c r="F204" s="331">
        <f t="shared" si="1"/>
        <v>-398307.07999999996</v>
      </c>
      <c r="G204" s="65"/>
      <c r="I204" s="292"/>
      <c r="J204" s="78"/>
    </row>
    <row r="205" spans="1:10">
      <c r="A205" s="338">
        <v>2070</v>
      </c>
      <c r="B205" s="268" t="s">
        <v>134</v>
      </c>
      <c r="C205" s="310">
        <v>-940423.02</v>
      </c>
      <c r="D205" s="310">
        <v>0</v>
      </c>
      <c r="E205" s="311">
        <v>-454213.55</v>
      </c>
      <c r="F205" s="331">
        <f t="shared" si="1"/>
        <v>-1394636.57</v>
      </c>
      <c r="G205" s="65"/>
      <c r="I205" s="292"/>
      <c r="J205" s="78"/>
    </row>
    <row r="206" spans="1:10">
      <c r="A206" s="338">
        <v>2080</v>
      </c>
      <c r="B206" s="268" t="s">
        <v>136</v>
      </c>
      <c r="C206" s="310">
        <v>-729717.92</v>
      </c>
      <c r="D206" s="310">
        <v>0</v>
      </c>
      <c r="E206" s="311">
        <f>-57056.36+40086.74</f>
        <v>-16969.620000000003</v>
      </c>
      <c r="F206" s="331">
        <f t="shared" si="1"/>
        <v>-746687.54</v>
      </c>
      <c r="G206" s="65"/>
      <c r="I206" s="292"/>
      <c r="J206" s="78"/>
    </row>
    <row r="207" spans="1:10">
      <c r="A207" s="338">
        <v>2090</v>
      </c>
      <c r="B207" s="268" t="s">
        <v>695</v>
      </c>
      <c r="C207" s="310">
        <v>106985.63</v>
      </c>
      <c r="D207" s="310">
        <v>0</v>
      </c>
      <c r="E207" s="311">
        <f>40086.74-40086.74</f>
        <v>0</v>
      </c>
      <c r="F207" s="331">
        <f t="shared" si="1"/>
        <v>106985.63</v>
      </c>
      <c r="G207" s="65"/>
      <c r="I207" s="292"/>
      <c r="J207" s="78"/>
    </row>
    <row r="208" spans="1:10" ht="13.8" thickBot="1">
      <c r="A208" s="339"/>
      <c r="B208" s="333" t="s">
        <v>759</v>
      </c>
      <c r="C208" s="334">
        <f t="shared" ref="C208:F208" si="2">SUM(C159:C207)</f>
        <v>-3188547.4300000006</v>
      </c>
      <c r="D208" s="334">
        <f t="shared" si="2"/>
        <v>-0.59</v>
      </c>
      <c r="E208" s="334">
        <f t="shared" si="2"/>
        <v>-1242461.47</v>
      </c>
      <c r="F208" s="335">
        <f t="shared" si="2"/>
        <v>-4431009.4899999993</v>
      </c>
      <c r="G208" s="65"/>
      <c r="I208" s="292"/>
    </row>
    <row r="209" spans="1:7">
      <c r="A209" s="65"/>
      <c r="B209" s="65"/>
      <c r="C209" s="156"/>
      <c r="D209" s="156"/>
      <c r="E209" s="156"/>
      <c r="F209" s="156"/>
      <c r="G209" s="65"/>
    </row>
    <row r="210" spans="1:7">
      <c r="A210" s="65"/>
      <c r="B210" s="65"/>
      <c r="C210" s="156"/>
      <c r="D210" s="156"/>
      <c r="E210" s="156"/>
      <c r="F210" s="156"/>
      <c r="G210" s="65"/>
    </row>
    <row r="211" spans="1:7">
      <c r="A211" s="157" t="s">
        <v>479</v>
      </c>
      <c r="B211" s="312" t="s">
        <v>482</v>
      </c>
      <c r="C211" s="156"/>
      <c r="D211" s="156"/>
      <c r="E211" s="156"/>
      <c r="F211" s="156"/>
      <c r="G211" s="65"/>
    </row>
    <row r="212" spans="1:7">
      <c r="A212" s="65"/>
      <c r="B212" s="76" t="s">
        <v>929</v>
      </c>
      <c r="C212" s="156"/>
      <c r="D212" s="156"/>
      <c r="E212" s="156"/>
      <c r="F212" s="156"/>
      <c r="G212" s="65"/>
    </row>
    <row r="213" spans="1:7">
      <c r="A213" s="65"/>
      <c r="B213" s="65"/>
      <c r="C213" s="156"/>
      <c r="D213" s="156"/>
      <c r="E213" s="156"/>
      <c r="F213" s="156"/>
      <c r="G213" s="65"/>
    </row>
    <row r="214" spans="1:7">
      <c r="A214" s="157" t="s">
        <v>374</v>
      </c>
      <c r="B214" s="157" t="s">
        <v>374</v>
      </c>
      <c r="C214" s="156"/>
      <c r="D214" s="156"/>
      <c r="E214" s="156"/>
      <c r="F214" s="156"/>
      <c r="G214" s="65"/>
    </row>
    <row r="215" spans="1:7">
      <c r="A215" s="157"/>
      <c r="B215" s="157"/>
      <c r="C215" s="156"/>
      <c r="D215" s="156"/>
      <c r="E215" s="156"/>
      <c r="F215" s="156"/>
      <c r="G215" s="65"/>
    </row>
    <row r="216" spans="1:7">
      <c r="A216" s="65"/>
      <c r="B216" s="146"/>
      <c r="C216" s="156"/>
      <c r="D216" s="156"/>
      <c r="E216" s="156"/>
      <c r="F216" s="156"/>
      <c r="G216" s="65"/>
    </row>
    <row r="217" spans="1:7">
      <c r="A217" s="65"/>
      <c r="B217" s="146"/>
      <c r="C217" s="156"/>
      <c r="D217" s="156"/>
      <c r="E217" s="156"/>
      <c r="F217" s="156"/>
      <c r="G217" s="65"/>
    </row>
    <row r="218" spans="1:7">
      <c r="A218" s="65"/>
      <c r="B218" s="146"/>
      <c r="C218" s="156"/>
      <c r="D218" s="156"/>
      <c r="E218" s="156"/>
      <c r="F218" s="156"/>
      <c r="G218" s="65"/>
    </row>
    <row r="219" spans="1:7">
      <c r="B219" s="149"/>
    </row>
    <row r="220" spans="1:7">
      <c r="B220" s="149"/>
    </row>
    <row r="221" spans="1:7">
      <c r="B221" s="149"/>
    </row>
    <row r="222" spans="1:7">
      <c r="B222" s="149"/>
    </row>
  </sheetData>
  <mergeCells count="6">
    <mergeCell ref="F157:F158"/>
    <mergeCell ref="A157:A158"/>
    <mergeCell ref="B157:B158"/>
    <mergeCell ref="C157:C158"/>
    <mergeCell ref="D157:D158"/>
    <mergeCell ref="E157:E158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Saldobalanse 2021</vt:lpstr>
      <vt:lpstr>Årsregnskap 2021</vt:lpstr>
      <vt:lpstr>Noter 2021</vt:lpstr>
      <vt:lpstr>Saldobalanse 2020</vt:lpstr>
      <vt:lpstr>Årsregnskap 2020</vt:lpstr>
      <vt:lpstr>Noter 2020</vt:lpstr>
      <vt:lpstr>Saldobalanse 2019</vt:lpstr>
      <vt:lpstr>Årsregnskap 2019</vt:lpstr>
      <vt:lpstr>Noter 2019</vt:lpstr>
      <vt:lpstr>Saldobalanse 2018</vt:lpstr>
      <vt:lpstr>Årsregnskap 2018</vt:lpstr>
      <vt:lpstr>Noter 2018</vt:lpstr>
      <vt:lpstr>Årsregnskap 2017</vt:lpstr>
      <vt:lpstr>Noter 2017</vt:lpstr>
      <vt:lpstr>Saldobalanse 2017</vt:lpstr>
      <vt:lpstr>Årsregnskap 2016</vt:lpstr>
      <vt:lpstr>Noter 2016</vt:lpstr>
      <vt:lpstr>Saldobalanse 2016</vt:lpstr>
      <vt:lpstr>Årsregnskap 2015</vt:lpstr>
      <vt:lpstr>Noter 2015</vt:lpstr>
      <vt:lpstr>Saldobalanse 2015</vt:lpstr>
      <vt:lpstr>Årsregnskap 2014</vt:lpstr>
      <vt:lpstr>Noter 2014</vt:lpstr>
      <vt:lpstr>Saldobalanse 2014</vt:lpstr>
      <vt:lpstr>Årsregnskap 2013</vt:lpstr>
      <vt:lpstr>Noter 2013</vt:lpstr>
      <vt:lpstr>saldobalanse 2013, alle</vt:lpstr>
      <vt:lpstr>Saldobalanse 2012 og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Ørnulf Jahr</dc:creator>
  <cp:lastModifiedBy>Truls Vestnes</cp:lastModifiedBy>
  <cp:lastPrinted>2021-02-26T16:01:15Z</cp:lastPrinted>
  <dcterms:created xsi:type="dcterms:W3CDTF">2015-04-08T13:16:52Z</dcterms:created>
  <dcterms:modified xsi:type="dcterms:W3CDTF">2022-03-10T13:31:57Z</dcterms:modified>
</cp:coreProperties>
</file>