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deleine/Downloads/"/>
    </mc:Choice>
  </mc:AlternateContent>
  <xr:revisionPtr revIDLastSave="0" documentId="13_ncr:1_{E7DA3406-3D1C-9741-84EB-6B4578B5E5EB}" xr6:coauthVersionLast="41" xr6:coauthVersionMax="41" xr10:uidLastSave="{00000000-0000-0000-0000-000000000000}"/>
  <bookViews>
    <workbookView xWindow="0" yWindow="0" windowWidth="28800" windowHeight="18000" xr2:uid="{00000000-000D-0000-FFFF-FFFF00000000}"/>
  </bookViews>
  <sheets>
    <sheet name="Budsjett OSI 2019" sheetId="1" r:id="rId1"/>
    <sheet name="Budsjett grupper" sheetId="2" r:id="rId2"/>
    <sheet name="Budsjett HS 2019" sheetId="3" r:id="rId3"/>
    <sheet name="Budsjett hytte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0" i="4" l="1"/>
  <c r="D110" i="4"/>
  <c r="D108" i="4"/>
  <c r="D106" i="4"/>
  <c r="E20" i="4"/>
  <c r="D20" i="4"/>
  <c r="C122" i="3"/>
  <c r="C21" i="3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51" i="1"/>
  <c r="G47" i="1"/>
  <c r="H47" i="1"/>
  <c r="D21" i="2"/>
  <c r="D41" i="2"/>
  <c r="D107" i="2"/>
  <c r="D109" i="2"/>
  <c r="D111" i="2" s="1"/>
  <c r="D21" i="1"/>
  <c r="D41" i="1"/>
  <c r="D115" i="1"/>
  <c r="D119" i="1"/>
  <c r="E46" i="1"/>
  <c r="F47" i="1"/>
  <c r="F46" i="1"/>
  <c r="F45" i="1"/>
  <c r="C19" i="2"/>
  <c r="E19" i="1" s="1"/>
  <c r="C19" i="1" s="1"/>
  <c r="E41" i="2"/>
  <c r="F41" i="2"/>
  <c r="F109" i="2" s="1"/>
  <c r="G41" i="2"/>
  <c r="H41" i="2"/>
  <c r="I41" i="2"/>
  <c r="J41" i="2"/>
  <c r="J109" i="2" s="1"/>
  <c r="K41" i="2"/>
  <c r="L41" i="2"/>
  <c r="M41" i="2"/>
  <c r="N41" i="2"/>
  <c r="O41" i="2"/>
  <c r="P41" i="2"/>
  <c r="R41" i="2"/>
  <c r="S41" i="2"/>
  <c r="T41" i="2"/>
  <c r="U41" i="2"/>
  <c r="V41" i="2"/>
  <c r="W41" i="2"/>
  <c r="X41" i="2"/>
  <c r="Y41" i="2"/>
  <c r="AA41" i="2"/>
  <c r="AB41" i="2"/>
  <c r="AC41" i="2"/>
  <c r="AD41" i="2"/>
  <c r="AE41" i="2"/>
  <c r="AF41" i="2"/>
  <c r="AF109" i="2" s="1"/>
  <c r="AG41" i="2"/>
  <c r="AH41" i="2"/>
  <c r="AI41" i="2"/>
  <c r="AJ41" i="2"/>
  <c r="E21" i="2"/>
  <c r="F21" i="2"/>
  <c r="G21" i="2"/>
  <c r="H21" i="2"/>
  <c r="I21" i="2"/>
  <c r="J21" i="2"/>
  <c r="K21" i="2"/>
  <c r="L21" i="2"/>
  <c r="M21" i="2"/>
  <c r="N21" i="2"/>
  <c r="O21" i="2"/>
  <c r="P21" i="2"/>
  <c r="R21" i="2"/>
  <c r="S21" i="2"/>
  <c r="T21" i="2"/>
  <c r="U21" i="2"/>
  <c r="V21" i="2"/>
  <c r="W21" i="2"/>
  <c r="X21" i="2"/>
  <c r="AB21" i="2"/>
  <c r="AC21" i="2"/>
  <c r="AD21" i="2"/>
  <c r="AE21" i="2"/>
  <c r="AF21" i="2"/>
  <c r="AG21" i="2"/>
  <c r="AH21" i="2"/>
  <c r="AJ21" i="2"/>
  <c r="E107" i="2"/>
  <c r="F107" i="2"/>
  <c r="G107" i="2"/>
  <c r="H107" i="2"/>
  <c r="H109" i="2" s="1"/>
  <c r="I107" i="2"/>
  <c r="J107" i="2"/>
  <c r="K107" i="2"/>
  <c r="L107" i="2"/>
  <c r="L109" i="2" s="1"/>
  <c r="M107" i="2"/>
  <c r="N107" i="2"/>
  <c r="O107" i="2"/>
  <c r="P107" i="2"/>
  <c r="P109" i="2" s="1"/>
  <c r="R107" i="2"/>
  <c r="S107" i="2"/>
  <c r="T107" i="2"/>
  <c r="T109" i="2" s="1"/>
  <c r="U107" i="2"/>
  <c r="U109" i="2" s="1"/>
  <c r="V107" i="2"/>
  <c r="W107" i="2"/>
  <c r="X107" i="2"/>
  <c r="X109" i="2" s="1"/>
  <c r="Z107" i="2"/>
  <c r="AA107" i="2"/>
  <c r="AB107" i="2"/>
  <c r="AC107" i="2"/>
  <c r="AD107" i="2"/>
  <c r="AD109" i="2" s="1"/>
  <c r="AD111" i="2" s="1"/>
  <c r="AE107" i="2"/>
  <c r="AF107" i="2"/>
  <c r="AG107" i="2"/>
  <c r="AG109" i="2" s="1"/>
  <c r="AG111" i="2" s="1"/>
  <c r="AH107" i="2"/>
  <c r="AH109" i="2" s="1"/>
  <c r="AJ107" i="2"/>
  <c r="AJ109" i="2" s="1"/>
  <c r="N109" i="2"/>
  <c r="C109" i="4"/>
  <c r="C107" i="4"/>
  <c r="G106" i="4"/>
  <c r="G108" i="4" s="1"/>
  <c r="C106" i="4"/>
  <c r="F115" i="1" s="1"/>
  <c r="C115" i="1" s="1"/>
  <c r="C105" i="4"/>
  <c r="C104" i="4"/>
  <c r="C103" i="4"/>
  <c r="H102" i="4"/>
  <c r="F102" i="4"/>
  <c r="C102" i="4"/>
  <c r="F111" i="1" s="1"/>
  <c r="C101" i="4"/>
  <c r="C100" i="4"/>
  <c r="C99" i="4"/>
  <c r="F108" i="1" s="1"/>
  <c r="F98" i="4"/>
  <c r="C98" i="4"/>
  <c r="C97" i="4"/>
  <c r="F96" i="4"/>
  <c r="C96" i="4"/>
  <c r="C95" i="4"/>
  <c r="C94" i="4"/>
  <c r="C93" i="4"/>
  <c r="C92" i="4"/>
  <c r="F101" i="1" s="1"/>
  <c r="C91" i="4"/>
  <c r="C90" i="4"/>
  <c r="C89" i="4"/>
  <c r="C88" i="4"/>
  <c r="F97" i="1" s="1"/>
  <c r="C87" i="4"/>
  <c r="C86" i="4"/>
  <c r="C85" i="4"/>
  <c r="C84" i="4"/>
  <c r="F93" i="1" s="1"/>
  <c r="C83" i="4"/>
  <c r="F82" i="4"/>
  <c r="C82" i="4"/>
  <c r="F91" i="1" s="1"/>
  <c r="C81" i="4"/>
  <c r="F90" i="1" s="1"/>
  <c r="C80" i="4"/>
  <c r="C79" i="4"/>
  <c r="C78" i="4"/>
  <c r="F87" i="1" s="1"/>
  <c r="C77" i="4"/>
  <c r="F86" i="1" s="1"/>
  <c r="C76" i="4"/>
  <c r="F75" i="4"/>
  <c r="C75" i="4"/>
  <c r="C74" i="4"/>
  <c r="F83" i="1" s="1"/>
  <c r="C73" i="4"/>
  <c r="C72" i="4"/>
  <c r="C71" i="4"/>
  <c r="H70" i="4"/>
  <c r="C70" i="4"/>
  <c r="C69" i="4"/>
  <c r="F68" i="4"/>
  <c r="C68" i="4"/>
  <c r="C67" i="4"/>
  <c r="C66" i="4"/>
  <c r="C65" i="4"/>
  <c r="C64" i="4"/>
  <c r="C63" i="4"/>
  <c r="C62" i="4"/>
  <c r="F61" i="4"/>
  <c r="C61" i="4"/>
  <c r="F60" i="4"/>
  <c r="C60" i="4"/>
  <c r="F69" i="1" s="1"/>
  <c r="C59" i="4"/>
  <c r="F68" i="1" s="1"/>
  <c r="C58" i="4"/>
  <c r="C57" i="4"/>
  <c r="C56" i="4"/>
  <c r="F65" i="1" s="1"/>
  <c r="C55" i="4"/>
  <c r="F64" i="1" s="1"/>
  <c r="F54" i="4"/>
  <c r="C54" i="4"/>
  <c r="C53" i="4"/>
  <c r="C52" i="4"/>
  <c r="C51" i="4"/>
  <c r="C50" i="4"/>
  <c r="C49" i="4"/>
  <c r="F57" i="1" s="1"/>
  <c r="C48" i="4"/>
  <c r="C47" i="4"/>
  <c r="C46" i="4"/>
  <c r="C45" i="4"/>
  <c r="F53" i="1" s="1"/>
  <c r="C44" i="4"/>
  <c r="C43" i="4"/>
  <c r="H40" i="4"/>
  <c r="G40" i="4"/>
  <c r="D40" i="4"/>
  <c r="C40" i="4" s="1"/>
  <c r="C39" i="4"/>
  <c r="C38" i="4"/>
  <c r="F39" i="1" s="1"/>
  <c r="C37" i="4"/>
  <c r="C36" i="4"/>
  <c r="C35" i="4"/>
  <c r="C34" i="4"/>
  <c r="C33" i="4"/>
  <c r="F34" i="1" s="1"/>
  <c r="C32" i="4"/>
  <c r="C31" i="4"/>
  <c r="C30" i="4"/>
  <c r="C29" i="4"/>
  <c r="F30" i="1" s="1"/>
  <c r="C28" i="4"/>
  <c r="C27" i="4"/>
  <c r="C26" i="4"/>
  <c r="C25" i="4"/>
  <c r="C24" i="4"/>
  <c r="C23" i="4"/>
  <c r="H20" i="4"/>
  <c r="G20" i="4"/>
  <c r="C20" i="4"/>
  <c r="F21" i="1" s="1"/>
  <c r="C19" i="4"/>
  <c r="C18" i="4"/>
  <c r="F17" i="4"/>
  <c r="C17" i="4"/>
  <c r="F18" i="1" s="1"/>
  <c r="C16" i="4"/>
  <c r="C15" i="4"/>
  <c r="C14" i="4"/>
  <c r="C13" i="4"/>
  <c r="C12" i="4"/>
  <c r="F11" i="4"/>
  <c r="C11" i="4"/>
  <c r="C10" i="4"/>
  <c r="F11" i="1" s="1"/>
  <c r="F9" i="4"/>
  <c r="C9" i="4"/>
  <c r="F8" i="4"/>
  <c r="C8" i="4"/>
  <c r="C7" i="4"/>
  <c r="C6" i="4"/>
  <c r="C5" i="4"/>
  <c r="C4" i="4"/>
  <c r="F4" i="1" s="1"/>
  <c r="C3" i="4"/>
  <c r="G117" i="3"/>
  <c r="G119" i="3" s="1"/>
  <c r="D117" i="3"/>
  <c r="D119" i="3" s="1"/>
  <c r="J115" i="3"/>
  <c r="I115" i="3"/>
  <c r="H115" i="3"/>
  <c r="G115" i="3"/>
  <c r="F115" i="3"/>
  <c r="E115" i="3"/>
  <c r="D115" i="3"/>
  <c r="C115" i="3"/>
  <c r="C117" i="3" s="1"/>
  <c r="C119" i="3" s="1"/>
  <c r="D121" i="1" s="1"/>
  <c r="E75" i="3"/>
  <c r="J47" i="3"/>
  <c r="I47" i="3"/>
  <c r="H47" i="3"/>
  <c r="G47" i="3"/>
  <c r="F47" i="3"/>
  <c r="E47" i="3"/>
  <c r="D47" i="3"/>
  <c r="C47" i="3"/>
  <c r="I41" i="3"/>
  <c r="H41" i="3"/>
  <c r="H117" i="3" s="1"/>
  <c r="H119" i="3" s="1"/>
  <c r="E41" i="3"/>
  <c r="C41" i="3"/>
  <c r="H35" i="3"/>
  <c r="J34" i="3"/>
  <c r="H34" i="3"/>
  <c r="F34" i="3"/>
  <c r="D34" i="3"/>
  <c r="J26" i="3"/>
  <c r="H26" i="3"/>
  <c r="F26" i="3"/>
  <c r="D26" i="3"/>
  <c r="D35" i="3" s="1"/>
  <c r="D41" i="3" s="1"/>
  <c r="G23" i="3"/>
  <c r="G41" i="3" s="1"/>
  <c r="J21" i="3"/>
  <c r="I21" i="3"/>
  <c r="H21" i="3"/>
  <c r="F21" i="3"/>
  <c r="E21" i="3"/>
  <c r="D21" i="3"/>
  <c r="G13" i="3"/>
  <c r="G21" i="3" s="1"/>
  <c r="C106" i="2"/>
  <c r="E114" i="1" s="1"/>
  <c r="C105" i="2"/>
  <c r="E113" i="1" s="1"/>
  <c r="C104" i="2"/>
  <c r="C103" i="2"/>
  <c r="C102" i="2"/>
  <c r="E110" i="1" s="1"/>
  <c r="C101" i="2"/>
  <c r="E109" i="1" s="1"/>
  <c r="C100" i="2"/>
  <c r="C99" i="2"/>
  <c r="Y98" i="2"/>
  <c r="C98" i="2" s="1"/>
  <c r="E106" i="1" s="1"/>
  <c r="C97" i="2"/>
  <c r="E105" i="1" s="1"/>
  <c r="C96" i="2"/>
  <c r="E104" i="1" s="1"/>
  <c r="C95" i="2"/>
  <c r="E103" i="1" s="1"/>
  <c r="C94" i="2"/>
  <c r="E102" i="1" s="1"/>
  <c r="C93" i="2"/>
  <c r="C92" i="2"/>
  <c r="E100" i="1" s="1"/>
  <c r="C91" i="2"/>
  <c r="E99" i="1" s="1"/>
  <c r="C90" i="2"/>
  <c r="E98" i="1" s="1"/>
  <c r="C89" i="2"/>
  <c r="Y88" i="2"/>
  <c r="C88" i="2" s="1"/>
  <c r="E96" i="1" s="1"/>
  <c r="C87" i="2"/>
  <c r="E95" i="1" s="1"/>
  <c r="C86" i="2"/>
  <c r="E94" i="1" s="1"/>
  <c r="C85" i="2"/>
  <c r="E93" i="1" s="1"/>
  <c r="C84" i="2"/>
  <c r="C83" i="2"/>
  <c r="C82" i="2"/>
  <c r="E90" i="1" s="1"/>
  <c r="C81" i="2"/>
  <c r="C80" i="2"/>
  <c r="E88" i="1" s="1"/>
  <c r="C79" i="2"/>
  <c r="E87" i="1" s="1"/>
  <c r="C78" i="2"/>
  <c r="E86" i="1" s="1"/>
  <c r="C77" i="2"/>
  <c r="E85" i="1" s="1"/>
  <c r="C76" i="2"/>
  <c r="E84" i="1" s="1"/>
  <c r="C75" i="2"/>
  <c r="E83" i="1" s="1"/>
  <c r="C74" i="2"/>
  <c r="E82" i="1" s="1"/>
  <c r="C73" i="2"/>
  <c r="E81" i="1" s="1"/>
  <c r="C72" i="2"/>
  <c r="E80" i="1" s="1"/>
  <c r="C71" i="2"/>
  <c r="E79" i="1" s="1"/>
  <c r="C70" i="2"/>
  <c r="E78" i="1" s="1"/>
  <c r="C69" i="2"/>
  <c r="E77" i="1" s="1"/>
  <c r="C68" i="2"/>
  <c r="C67" i="2"/>
  <c r="E75" i="1" s="1"/>
  <c r="C66" i="2"/>
  <c r="E74" i="1" s="1"/>
  <c r="C65" i="2"/>
  <c r="C64" i="2"/>
  <c r="C63" i="2"/>
  <c r="E71" i="1" s="1"/>
  <c r="C62" i="2"/>
  <c r="E70" i="1" s="1"/>
  <c r="C61" i="2"/>
  <c r="E69" i="1" s="1"/>
  <c r="C60" i="2"/>
  <c r="E68" i="1" s="1"/>
  <c r="C59" i="2"/>
  <c r="E67" i="1" s="1"/>
  <c r="C58" i="2"/>
  <c r="E66" i="1" s="1"/>
  <c r="C57" i="2"/>
  <c r="E65" i="1" s="1"/>
  <c r="C56" i="2"/>
  <c r="E64" i="1" s="1"/>
  <c r="C55" i="2"/>
  <c r="E63" i="1" s="1"/>
  <c r="C54" i="2"/>
  <c r="E61" i="1" s="1"/>
  <c r="C53" i="2"/>
  <c r="E60" i="1" s="1"/>
  <c r="C52" i="2"/>
  <c r="E59" i="1" s="1"/>
  <c r="C51" i="2"/>
  <c r="E58" i="1" s="1"/>
  <c r="C50" i="2"/>
  <c r="E57" i="1" s="1"/>
  <c r="C49" i="2"/>
  <c r="E56" i="1" s="1"/>
  <c r="C48" i="2"/>
  <c r="Y47" i="2"/>
  <c r="Q47" i="2"/>
  <c r="C46" i="2"/>
  <c r="E53" i="1" s="1"/>
  <c r="Q45" i="2"/>
  <c r="AI44" i="2"/>
  <c r="AI107" i="2" s="1"/>
  <c r="C40" i="2"/>
  <c r="E40" i="1" s="1"/>
  <c r="C40" i="1" s="1"/>
  <c r="C39" i="2"/>
  <c r="E39" i="1" s="1"/>
  <c r="C39" i="1" s="1"/>
  <c r="C38" i="2"/>
  <c r="C37" i="2"/>
  <c r="E37" i="1" s="1"/>
  <c r="C36" i="2"/>
  <c r="E36" i="1" s="1"/>
  <c r="C36" i="1" s="1"/>
  <c r="C35" i="2"/>
  <c r="E35" i="1" s="1"/>
  <c r="C35" i="1" s="1"/>
  <c r="C33" i="2"/>
  <c r="E33" i="1" s="1"/>
  <c r="C32" i="2"/>
  <c r="C31" i="2"/>
  <c r="E31" i="1" s="1"/>
  <c r="C30" i="2"/>
  <c r="C29" i="2"/>
  <c r="E29" i="1" s="1"/>
  <c r="C28" i="2"/>
  <c r="C27" i="2"/>
  <c r="E27" i="1" s="1"/>
  <c r="C27" i="1" s="1"/>
  <c r="C26" i="2"/>
  <c r="E26" i="1" s="1"/>
  <c r="C26" i="1" s="1"/>
  <c r="Z25" i="2"/>
  <c r="Q25" i="2"/>
  <c r="Q41" i="2" s="1"/>
  <c r="C24" i="2"/>
  <c r="E24" i="1" s="1"/>
  <c r="C24" i="1" s="1"/>
  <c r="C23" i="2"/>
  <c r="C22" i="2"/>
  <c r="C20" i="2"/>
  <c r="E20" i="1" s="1"/>
  <c r="C20" i="1" s="1"/>
  <c r="Q18" i="2"/>
  <c r="C18" i="2" s="1"/>
  <c r="E18" i="1" s="1"/>
  <c r="C18" i="1" s="1"/>
  <c r="C17" i="2"/>
  <c r="E17" i="1" s="1"/>
  <c r="C16" i="2"/>
  <c r="E16" i="1" s="1"/>
  <c r="C15" i="2"/>
  <c r="Y14" i="2"/>
  <c r="Y21" i="2" s="1"/>
  <c r="Q14" i="2"/>
  <c r="C13" i="2"/>
  <c r="C12" i="2"/>
  <c r="E12" i="1" s="1"/>
  <c r="C12" i="1" s="1"/>
  <c r="C11" i="2"/>
  <c r="E11" i="1" s="1"/>
  <c r="C11" i="1" s="1"/>
  <c r="C10" i="2"/>
  <c r="E10" i="1" s="1"/>
  <c r="C9" i="2"/>
  <c r="E9" i="1" s="1"/>
  <c r="C9" i="1" s="1"/>
  <c r="C8" i="2"/>
  <c r="E8" i="1" s="1"/>
  <c r="C8" i="1" s="1"/>
  <c r="C7" i="2"/>
  <c r="E7" i="1" s="1"/>
  <c r="C7" i="1" s="1"/>
  <c r="Z6" i="2"/>
  <c r="Z21" i="2" s="1"/>
  <c r="C5" i="2"/>
  <c r="E5" i="1" s="1"/>
  <c r="C5" i="1" s="1"/>
  <c r="C4" i="2"/>
  <c r="AI3" i="2"/>
  <c r="AI21" i="2" s="1"/>
  <c r="AA3" i="2"/>
  <c r="AA21" i="2" s="1"/>
  <c r="J121" i="1"/>
  <c r="F120" i="1"/>
  <c r="E120" i="1"/>
  <c r="M119" i="1"/>
  <c r="F116" i="1"/>
  <c r="E116" i="1"/>
  <c r="N115" i="1"/>
  <c r="K115" i="1"/>
  <c r="K119" i="1" s="1"/>
  <c r="K121" i="1" s="1"/>
  <c r="J115" i="1"/>
  <c r="J119" i="1" s="1"/>
  <c r="F114" i="1"/>
  <c r="F113" i="1"/>
  <c r="F112" i="1"/>
  <c r="E112" i="1"/>
  <c r="E111" i="1"/>
  <c r="F110" i="1"/>
  <c r="F109" i="1"/>
  <c r="E108" i="1"/>
  <c r="G107" i="1"/>
  <c r="F107" i="1"/>
  <c r="E107" i="1"/>
  <c r="F106" i="1"/>
  <c r="F105" i="1"/>
  <c r="F104" i="1"/>
  <c r="O103" i="1"/>
  <c r="M103" i="1"/>
  <c r="M115" i="1" s="1"/>
  <c r="F103" i="1"/>
  <c r="F102" i="1"/>
  <c r="E101" i="1"/>
  <c r="F100" i="1"/>
  <c r="F99" i="1"/>
  <c r="F98" i="1"/>
  <c r="G97" i="1"/>
  <c r="E97" i="1"/>
  <c r="F96" i="1"/>
  <c r="F95" i="1"/>
  <c r="F94" i="1"/>
  <c r="G92" i="1"/>
  <c r="F92" i="1"/>
  <c r="E92" i="1"/>
  <c r="E91" i="1"/>
  <c r="F89" i="1"/>
  <c r="E89" i="1"/>
  <c r="F88" i="1"/>
  <c r="F85" i="1"/>
  <c r="F84" i="1"/>
  <c r="F82" i="1"/>
  <c r="F81" i="1"/>
  <c r="F80" i="1"/>
  <c r="I79" i="1"/>
  <c r="H79" i="1"/>
  <c r="H115" i="1" s="1"/>
  <c r="H119" i="1" s="1"/>
  <c r="G79" i="1"/>
  <c r="G115" i="1" s="1"/>
  <c r="G119" i="1" s="1"/>
  <c r="F79" i="1"/>
  <c r="F78" i="1"/>
  <c r="O77" i="1"/>
  <c r="F77" i="1"/>
  <c r="O76" i="1"/>
  <c r="F76" i="1"/>
  <c r="E76" i="1"/>
  <c r="F75" i="1"/>
  <c r="G74" i="1"/>
  <c r="F74" i="1"/>
  <c r="F73" i="1"/>
  <c r="E73" i="1"/>
  <c r="F72" i="1"/>
  <c r="E72" i="1"/>
  <c r="F71" i="1"/>
  <c r="F70" i="1"/>
  <c r="F67" i="1"/>
  <c r="F66" i="1"/>
  <c r="O63" i="1"/>
  <c r="O115" i="1" s="1"/>
  <c r="F63" i="1"/>
  <c r="F61" i="1"/>
  <c r="I60" i="1"/>
  <c r="I115" i="1" s="1"/>
  <c r="F60" i="1"/>
  <c r="F59" i="1"/>
  <c r="F58" i="1"/>
  <c r="F56" i="1"/>
  <c r="F55" i="1"/>
  <c r="E55" i="1"/>
  <c r="F54" i="1"/>
  <c r="F52" i="1"/>
  <c r="F51" i="1"/>
  <c r="O47" i="1"/>
  <c r="N47" i="1"/>
  <c r="M47" i="1"/>
  <c r="K47" i="1"/>
  <c r="I47" i="1"/>
  <c r="C44" i="1"/>
  <c r="O41" i="1"/>
  <c r="M41" i="1"/>
  <c r="I41" i="1"/>
  <c r="I119" i="1" s="1"/>
  <c r="H41" i="1"/>
  <c r="G41" i="1"/>
  <c r="F41" i="1"/>
  <c r="F40" i="1"/>
  <c r="F38" i="1"/>
  <c r="E38" i="1"/>
  <c r="N37" i="1"/>
  <c r="F37" i="1"/>
  <c r="C37" i="1" s="1"/>
  <c r="F36" i="1"/>
  <c r="F35" i="1"/>
  <c r="F33" i="1"/>
  <c r="F32" i="1"/>
  <c r="E32" i="1"/>
  <c r="C32" i="1" s="1"/>
  <c r="F31" i="1"/>
  <c r="E30" i="1"/>
  <c r="C30" i="1" s="1"/>
  <c r="F29" i="1"/>
  <c r="C29" i="1"/>
  <c r="F28" i="1"/>
  <c r="E28" i="1"/>
  <c r="C28" i="1" s="1"/>
  <c r="F27" i="1"/>
  <c r="N26" i="1"/>
  <c r="N41" i="1" s="1"/>
  <c r="N119" i="1" s="1"/>
  <c r="F26" i="1"/>
  <c r="F25" i="1"/>
  <c r="I24" i="1"/>
  <c r="F24" i="1"/>
  <c r="N21" i="1"/>
  <c r="M21" i="1"/>
  <c r="M121" i="1" s="1"/>
  <c r="J21" i="1"/>
  <c r="H21" i="1"/>
  <c r="H121" i="1" s="1"/>
  <c r="G21" i="1"/>
  <c r="F20" i="1"/>
  <c r="F19" i="1"/>
  <c r="F17" i="1"/>
  <c r="F16" i="1"/>
  <c r="F15" i="1"/>
  <c r="E15" i="1"/>
  <c r="C15" i="1" s="1"/>
  <c r="O14" i="1"/>
  <c r="M14" i="1"/>
  <c r="F14" i="1"/>
  <c r="M13" i="1"/>
  <c r="F13" i="1"/>
  <c r="E13" i="1"/>
  <c r="F12" i="1"/>
  <c r="F10" i="1"/>
  <c r="F9" i="1"/>
  <c r="F8" i="1"/>
  <c r="O6" i="1"/>
  <c r="O21" i="1" s="1"/>
  <c r="F6" i="1"/>
  <c r="F5" i="1"/>
  <c r="E4" i="1"/>
  <c r="C4" i="1" s="1"/>
  <c r="I3" i="1"/>
  <c r="I21" i="1" s="1"/>
  <c r="F3" i="1"/>
  <c r="I109" i="2" l="1"/>
  <c r="I111" i="2" s="1"/>
  <c r="U111" i="2"/>
  <c r="P111" i="2"/>
  <c r="L111" i="2"/>
  <c r="V109" i="2"/>
  <c r="R109" i="2"/>
  <c r="E109" i="2"/>
  <c r="E111" i="2" s="1"/>
  <c r="C38" i="1"/>
  <c r="Q21" i="2"/>
  <c r="AB109" i="2"/>
  <c r="T111" i="2"/>
  <c r="Y111" i="2"/>
  <c r="X111" i="2"/>
  <c r="Y107" i="2"/>
  <c r="Y109" i="2" s="1"/>
  <c r="N111" i="2"/>
  <c r="C3" i="2"/>
  <c r="E3" i="1" s="1"/>
  <c r="C3" i="1" s="1"/>
  <c r="Q107" i="2"/>
  <c r="Q109" i="2" s="1"/>
  <c r="Q111" i="2" s="1"/>
  <c r="J111" i="2"/>
  <c r="M109" i="2"/>
  <c r="M111" i="2" s="1"/>
  <c r="AF111" i="2"/>
  <c r="AB111" i="2"/>
  <c r="H111" i="2"/>
  <c r="AJ111" i="2"/>
  <c r="C6" i="2"/>
  <c r="E6" i="1" s="1"/>
  <c r="C6" i="1" s="1"/>
  <c r="C44" i="2"/>
  <c r="E51" i="1" s="1"/>
  <c r="D45" i="1"/>
  <c r="C45" i="1" s="1"/>
  <c r="C31" i="1"/>
  <c r="C10" i="1"/>
  <c r="C45" i="2"/>
  <c r="E52" i="1" s="1"/>
  <c r="AC109" i="2"/>
  <c r="AC111" i="2" s="1"/>
  <c r="AI109" i="2"/>
  <c r="AE109" i="2"/>
  <c r="AA109" i="2"/>
  <c r="W109" i="2"/>
  <c r="S109" i="2"/>
  <c r="S111" i="2" s="1"/>
  <c r="O109" i="2"/>
  <c r="K109" i="2"/>
  <c r="G109" i="2"/>
  <c r="AH111" i="2"/>
  <c r="R111" i="2"/>
  <c r="V111" i="2"/>
  <c r="F111" i="2"/>
  <c r="AI111" i="2"/>
  <c r="AE111" i="2"/>
  <c r="AA111" i="2"/>
  <c r="W111" i="2"/>
  <c r="O111" i="2"/>
  <c r="K111" i="2"/>
  <c r="G111" i="2"/>
  <c r="F41" i="3"/>
  <c r="F117" i="3" s="1"/>
  <c r="F35" i="3"/>
  <c r="C13" i="1"/>
  <c r="G121" i="1"/>
  <c r="N121" i="1"/>
  <c r="O119" i="1"/>
  <c r="F70" i="4"/>
  <c r="H106" i="4"/>
  <c r="H108" i="4" s="1"/>
  <c r="H110" i="4" s="1"/>
  <c r="C14" i="2"/>
  <c r="E14" i="1" s="1"/>
  <c r="C14" i="1" s="1"/>
  <c r="C33" i="1"/>
  <c r="C17" i="1"/>
  <c r="I121" i="1"/>
  <c r="O121" i="1"/>
  <c r="C16" i="1"/>
  <c r="I117" i="3"/>
  <c r="I119" i="3" s="1"/>
  <c r="Z34" i="2"/>
  <c r="C34" i="2" s="1"/>
  <c r="E34" i="1" s="1"/>
  <c r="C34" i="1" s="1"/>
  <c r="C25" i="2"/>
  <c r="E25" i="1" s="1"/>
  <c r="C25" i="1" s="1"/>
  <c r="C47" i="1"/>
  <c r="C47" i="2"/>
  <c r="E54" i="1" s="1"/>
  <c r="F119" i="3"/>
  <c r="F20" i="4"/>
  <c r="G110" i="4"/>
  <c r="E117" i="3"/>
  <c r="E119" i="3" s="1"/>
  <c r="J35" i="3"/>
  <c r="J41" i="3" s="1"/>
  <c r="J117" i="3" s="1"/>
  <c r="J119" i="3" s="1"/>
  <c r="C21" i="2" l="1"/>
  <c r="Z41" i="2"/>
  <c r="Z109" i="2" s="1"/>
  <c r="Z111" i="2" s="1"/>
  <c r="C41" i="2"/>
  <c r="C107" i="2"/>
  <c r="C109" i="2" s="1"/>
  <c r="C111" i="2" s="1"/>
  <c r="C108" i="4"/>
  <c r="F119" i="1" s="1"/>
  <c r="C110" i="4" l="1"/>
  <c r="F121" i="1" s="1"/>
  <c r="E115" i="1"/>
  <c r="E41" i="1"/>
  <c r="C41" i="1" s="1"/>
  <c r="E21" i="1"/>
  <c r="C21" i="1" s="1"/>
  <c r="E119" i="1" l="1"/>
  <c r="C119" i="1" s="1"/>
  <c r="E121" i="1"/>
  <c r="C1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2" authorId="0" shapeId="0" xr:uid="{00000000-0006-0000-0000-000001000000}">
      <text>
        <r>
          <rPr>
            <sz val="12"/>
            <color rgb="FF000000"/>
            <rFont val="Calibri"/>
          </rPr>
          <t>Hele regnskapet for 2014 er ført med en annen kontoplan.</t>
        </r>
      </text>
    </comment>
    <comment ref="M52" authorId="0" shapeId="0" xr:uid="{00000000-0006-0000-0000-000002000000}">
      <text>
        <r>
          <rPr>
            <sz val="12"/>
            <color rgb="FF000000"/>
            <rFont val="Calibri"/>
          </rPr>
          <t>Vi fikk 250 000 støtte fra sparebankstiftelsen til innkjøp av utstyr.</t>
        </r>
      </text>
    </comment>
    <comment ref="O63" authorId="0" shapeId="0" xr:uid="{00000000-0006-0000-0000-000003000000}">
      <text>
        <r>
          <rPr>
            <sz val="12"/>
            <color rgb="FF000000"/>
            <rFont val="Calibri"/>
          </rPr>
          <t xml:space="preserve">Dette er en samling av de gamle postene 7160, 7170 og 7180
</t>
        </r>
      </text>
    </comment>
    <comment ref="O101" authorId="0" shapeId="0" xr:uid="{00000000-0006-0000-0000-000004000000}">
      <text>
        <r>
          <rPr>
            <sz val="12"/>
            <color rgb="FF000000"/>
            <rFont val="Calibri"/>
          </rPr>
          <t>Gammel føring for kontigenter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5" authorId="0" shapeId="0" xr:uid="{00000000-0006-0000-0200-000001000000}">
      <text>
        <r>
          <rPr>
            <sz val="12"/>
            <color rgb="FF000000"/>
            <rFont val="Calibri"/>
          </rPr>
          <t>Vedtatt Støtte VT</t>
        </r>
      </text>
    </comment>
    <comment ref="F6" authorId="0" shapeId="0" xr:uid="{00000000-0006-0000-0200-000002000000}">
      <text>
        <r>
          <rPr>
            <sz val="12"/>
            <color rgb="FF000000"/>
            <rFont val="Calibri"/>
          </rPr>
          <t xml:space="preserve">Ekstraordinær administrasjonsstøtte OIK/ NIF
Inneholder også støtte for mva fra spillemidler
</t>
        </r>
      </text>
    </comment>
    <comment ref="F8" authorId="0" shapeId="0" xr:uid="{00000000-0006-0000-0200-000003000000}">
      <text>
        <r>
          <rPr>
            <sz val="12"/>
            <color rgb="FF000000"/>
            <rFont val="Calibri"/>
          </rPr>
          <t>Gruppebelønning all-idrettstilbud, tildelinger, konkurransetildeling aka rekrutteringstiltak poengsystem</t>
        </r>
      </text>
    </comment>
    <comment ref="F13" authorId="0" shapeId="0" xr:uid="{00000000-0006-0000-0200-000004000000}">
      <text>
        <r>
          <rPr>
            <sz val="12"/>
            <color rgb="FF000000"/>
            <rFont val="Calibri"/>
          </rPr>
          <t xml:space="preserve">Det navnet tilsier
</t>
        </r>
      </text>
    </comment>
    <comment ref="F66" authorId="0" shapeId="0" xr:uid="{00000000-0006-0000-0200-000005000000}">
      <text>
        <r>
          <rPr>
            <sz val="12"/>
            <color rgb="FF000000"/>
            <rFont val="Calibri"/>
          </rPr>
          <t xml:space="preserve">5500 * 12
</t>
        </r>
      </text>
    </comment>
  </commentList>
</comments>
</file>

<file path=xl/sharedStrings.xml><?xml version="1.0" encoding="utf-8"?>
<sst xmlns="http://schemas.openxmlformats.org/spreadsheetml/2006/main" count="516" uniqueCount="180">
  <si>
    <t>Konto i regnskapet</t>
  </si>
  <si>
    <t>Inntekter</t>
  </si>
  <si>
    <t>Budsjett 2019</t>
  </si>
  <si>
    <t>Budsjett OSI 2019</t>
  </si>
  <si>
    <t>Budsjett Hovedstyret 2019</t>
  </si>
  <si>
    <t>Busjett 2019</t>
  </si>
  <si>
    <t>Budsjett grupper 2019</t>
  </si>
  <si>
    <t>Buffer 2019</t>
  </si>
  <si>
    <t>Aikido</t>
  </si>
  <si>
    <t>Badminton</t>
  </si>
  <si>
    <t>Basket</t>
  </si>
  <si>
    <t>Boksing</t>
  </si>
  <si>
    <t>Bordtennis</t>
  </si>
  <si>
    <t xml:space="preserve"> Budsjett 2018</t>
  </si>
  <si>
    <t>Dans</t>
  </si>
  <si>
    <t>Dykking</t>
  </si>
  <si>
    <t>Elvepadling</t>
  </si>
  <si>
    <t>Fekting</t>
  </si>
  <si>
    <t>Fotball</t>
  </si>
  <si>
    <t>Friidrett</t>
  </si>
  <si>
    <t>Budsjett hytter 2019</t>
  </si>
  <si>
    <t>Regnskap 2018</t>
  </si>
  <si>
    <t>Håndball</t>
  </si>
  <si>
    <t>Innebandy</t>
  </si>
  <si>
    <t>Judo</t>
  </si>
  <si>
    <t>Jujitsu</t>
  </si>
  <si>
    <t>Karate</t>
  </si>
  <si>
    <t>Regnskap 2017</t>
  </si>
  <si>
    <t>Kart</t>
  </si>
  <si>
    <t>Kendo</t>
  </si>
  <si>
    <t>Klatring</t>
  </si>
  <si>
    <t>Kubb</t>
  </si>
  <si>
    <t>Kung Fu</t>
  </si>
  <si>
    <t>Langrenn</t>
  </si>
  <si>
    <t>Orientering</t>
  </si>
  <si>
    <t>Quidditch</t>
  </si>
  <si>
    <t>Ski &amp; Snowboard</t>
  </si>
  <si>
    <t xml:space="preserve"> Budsjett 2017</t>
  </si>
  <si>
    <t>Regnskap 2016</t>
  </si>
  <si>
    <t>budsjett 2016</t>
  </si>
  <si>
    <t>Regnskap 2015</t>
  </si>
  <si>
    <t>Budsjett 2018</t>
  </si>
  <si>
    <t>Budsjett 2015</t>
  </si>
  <si>
    <t>Squash</t>
  </si>
  <si>
    <t>Svømming</t>
  </si>
  <si>
    <t>Sykkel</t>
  </si>
  <si>
    <t>Taekwondo</t>
  </si>
  <si>
    <t>Tennis</t>
  </si>
  <si>
    <t>Ultimate Frisbee</t>
  </si>
  <si>
    <t>Salg utstyr</t>
  </si>
  <si>
    <t>Volleyball</t>
  </si>
  <si>
    <t>Regnskap 2017 (nov)</t>
  </si>
  <si>
    <t>Budsjett 2017</t>
  </si>
  <si>
    <t>Sponsorinntekter</t>
  </si>
  <si>
    <t>Budsjett 2016</t>
  </si>
  <si>
    <t>Tilskudd fra Velferdstinget</t>
  </si>
  <si>
    <t>Tilskudd fra NIF</t>
  </si>
  <si>
    <t>Regnskap 2014</t>
  </si>
  <si>
    <t>MVA kompensasjon</t>
  </si>
  <si>
    <t>Tildelt 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</si>
  <si>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</si>
  <si>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</si>
  <si>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</si>
  <si>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</si>
  <si>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</si>
  <si>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</si>
  <si>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</si>
  <si>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</si>
  <si>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</si>
  <si>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</si>
  <si>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</si>
  <si>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</si>
  <si>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</si>
  <si>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mva-kompensasjon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</si>
  <si>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</si>
  <si>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</si>
  <si>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</si>
  <si>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</si>
  <si>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</si>
  <si>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</si>
  <si>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</si>
  <si>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</si>
  <si>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</si>
  <si>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</si>
  <si>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</si>
  <si>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</si>
  <si>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</si>
  <si>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</si>
  <si>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</si>
  <si>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</si>
  <si>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</si>
  <si>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</si>
  <si>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</si>
  <si>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</si>
  <si>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</si>
  <si>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</si>
  <si>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</si>
  <si>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</si>
  <si>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</si>
  <si>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</si>
  <si>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</si>
  <si>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</si>
  <si>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</si>
  <si>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</si>
  <si>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</si>
  <si>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</si>
  <si>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</si>
  <si>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</si>
  <si>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</si>
  <si>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</si>
  <si>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</si>
  <si>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Sosiale tilstellinger</t>
  </si>
  <si>
    <t>Avskrivninger på maskinger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</si>
  <si>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</si>
  <si>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</si>
  <si>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</si>
  <si>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</si>
  <si>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</si>
  <si>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</si>
  <si>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</si>
  <si>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</si>
  <si>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</si>
  <si>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</si>
  <si>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</si>
  <si>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</si>
  <si>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</si>
  <si>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</si>
  <si>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</si>
  <si>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</si>
  <si>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</si>
  <si>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</si>
  <si>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</si>
  <si>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</si>
  <si>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</si>
  <si>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</si>
  <si>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</si>
  <si>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</si>
  <si>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</si>
  <si>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</si>
  <si>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</si>
  <si>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</si>
  <si>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</si>
  <si>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</si>
  <si>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</si>
  <si>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</si>
  <si>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</si>
  <si>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Opphold etter regning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</si>
  <si>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</si>
  <si>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</si>
  <si>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</si>
  <si>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</si>
  <si>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</si>
  <si>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</si>
  <si>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</si>
  <si>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</si>
  <si>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</si>
  <si>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</si>
  <si>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</si>
  <si>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</si>
  <si>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</si>
  <si>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</si>
  <si>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Opprydding hovedbok</t>
  </si>
  <si>
    <t>Konstatert tap på fordringer</t>
  </si>
  <si>
    <t>Endring i avsetning tap på fordringer</t>
  </si>
  <si>
    <t>Sum driftskostnader</t>
  </si>
  <si>
    <t>Sum kostnader</t>
  </si>
  <si>
    <t>Driftsresultat</t>
  </si>
  <si>
    <t>Gjeld 01.01.19</t>
  </si>
  <si>
    <t>Utgående EK/Gjeld 2019</t>
  </si>
  <si>
    <t>Budsjett Studenterhytta 2019</t>
  </si>
  <si>
    <t>Budsjett KSI-hytta 2019</t>
  </si>
  <si>
    <t>Studenterhytta</t>
  </si>
  <si>
    <t>KSI-hytta</t>
  </si>
  <si>
    <t>22142.50</t>
  </si>
  <si>
    <t>609282.74</t>
  </si>
  <si>
    <t>Annen periodisering</t>
  </si>
  <si>
    <t>214857.94</t>
  </si>
  <si>
    <t>,</t>
  </si>
  <si>
    <t>0,00 kr</t>
  </si>
  <si>
    <t>Andre kostnader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</si>
</sst>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r&quot;\ #,##0.00;[Red]&quot;kr&quot;\ #,##0.00"/>
    <numFmt numFmtId="165" formatCode="[$-809]General"/>
    <numFmt numFmtId="166" formatCode="_-&quot;NOK&quot;\ * #,##0.00_-;\-&quot;NOK&quot;\ * #,##0.00_-;_-&quot;NOK&quot;\ * &quot;-&quot;??_-;_-@"/>
    <numFmt numFmtId="167" formatCode="&quot;NOK&quot;\ #,##0.00;[Red]&quot;NOK&quot;\ #,##0.00"/>
    <numFmt numFmtId="168" formatCode="#,##0.00\ [$kr-414]"/>
    <numFmt numFmtId="169" formatCode="&quot;NOK&quot;\ #,##0.00;[Red]\-&quot;NOK&quot;\ #,##0.00"/>
    <numFmt numFmtId="170" formatCode="&quot;kr&quot;\ #,##0.00;[Red]\-&quot;kr&quot;\ #,##0.00"/>
  </numFmts>
  <fonts count="26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name val="Arial"/>
    </font>
    <font>
      <b/>
      <sz val="12"/>
      <color rgb="FF000000"/>
      <name val="Calibri"/>
    </font>
    <font>
      <b/>
      <sz val="11"/>
      <name val="Arial"/>
    </font>
    <font>
      <b/>
      <sz val="11"/>
      <color rgb="FF000000"/>
      <name val="Calibri"/>
    </font>
    <font>
      <b/>
      <sz val="11"/>
      <color rgb="FF2C3E50"/>
      <name val="Calibri"/>
    </font>
    <font>
      <b/>
      <sz val="11"/>
      <name val="Calibri"/>
    </font>
    <font>
      <b/>
      <sz val="11"/>
      <color rgb="FF2C3E50"/>
      <name val="Arial"/>
    </font>
    <font>
      <sz val="11"/>
      <name val="Calibri"/>
    </font>
    <font>
      <sz val="11"/>
      <color rgb="FF000000"/>
      <name val="Calibri"/>
    </font>
    <font>
      <sz val="11"/>
      <color rgb="FF2C3E50"/>
      <name val="Arial"/>
    </font>
    <font>
      <sz val="10"/>
      <color rgb="FF2C3E50"/>
      <name val="Arial"/>
    </font>
    <font>
      <sz val="11"/>
      <color rgb="FFC53929"/>
      <name val="Arial"/>
    </font>
    <font>
      <sz val="12"/>
      <name val="Calibri"/>
    </font>
    <font>
      <sz val="10"/>
      <color rgb="FF000000"/>
      <name val="Arial"/>
    </font>
    <font>
      <b/>
      <sz val="11"/>
      <color rgb="FFC53929"/>
      <name val="Arial"/>
    </font>
    <font>
      <sz val="10"/>
      <name val="Arial"/>
    </font>
    <font>
      <sz val="10"/>
      <name val="Calibri"/>
    </font>
    <font>
      <sz val="12"/>
      <name val="Calibri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2"/>
      <color rgb="FFFF0000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rgb="FFDDD9C3"/>
        <bgColor rgb="FFDDD9C3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F2DBDB"/>
        <bgColor rgb="FFF2DBDB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0">
    <xf numFmtId="0" fontId="0" fillId="0" borderId="0" xfId="0" applyFont="1" applyAlignment="1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2" xfId="0" applyFont="1" applyFill="1" applyBorder="1"/>
    <xf numFmtId="0" fontId="2" fillId="3" borderId="2" xfId="0" applyFont="1" applyFill="1" applyBorder="1"/>
    <xf numFmtId="0" fontId="3" fillId="0" borderId="0" xfId="0" applyFont="1"/>
    <xf numFmtId="0" fontId="1" fillId="0" borderId="3" xfId="0" applyFont="1" applyBorder="1" applyAlignment="1">
      <alignment vertical="top"/>
    </xf>
    <xf numFmtId="0" fontId="3" fillId="4" borderId="2" xfId="0" applyFont="1" applyFill="1" applyBorder="1"/>
    <xf numFmtId="0" fontId="2" fillId="0" borderId="0" xfId="0" applyFont="1"/>
    <xf numFmtId="164" fontId="2" fillId="4" borderId="2" xfId="0" applyNumberFormat="1" applyFont="1" applyFill="1" applyBorder="1"/>
    <xf numFmtId="165" fontId="2" fillId="4" borderId="2" xfId="0" applyNumberFormat="1" applyFont="1" applyFill="1" applyBorder="1"/>
    <xf numFmtId="164" fontId="5" fillId="0" borderId="3" xfId="0" applyNumberFormat="1" applyFont="1" applyBorder="1"/>
    <xf numFmtId="0" fontId="6" fillId="2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right"/>
    </xf>
    <xf numFmtId="49" fontId="8" fillId="4" borderId="5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164" fontId="6" fillId="4" borderId="5" xfId="0" applyNumberFormat="1" applyFont="1" applyFill="1" applyBorder="1"/>
    <xf numFmtId="164" fontId="5" fillId="0" borderId="3" xfId="0" applyNumberFormat="1" applyFont="1" applyBorder="1" applyAlignment="1">
      <alignment vertical="top"/>
    </xf>
    <xf numFmtId="0" fontId="8" fillId="0" borderId="6" xfId="0" applyFont="1" applyBorder="1" applyAlignment="1"/>
    <xf numFmtId="0" fontId="7" fillId="4" borderId="5" xfId="0" applyFont="1" applyFill="1" applyBorder="1" applyAlignment="1">
      <alignment horizontal="right"/>
    </xf>
    <xf numFmtId="166" fontId="5" fillId="0" borderId="3" xfId="0" applyNumberFormat="1" applyFont="1" applyBorder="1"/>
    <xf numFmtId="0" fontId="8" fillId="0" borderId="1" xfId="0" applyFont="1" applyBorder="1" applyAlignment="1">
      <alignment horizontal="right"/>
    </xf>
    <xf numFmtId="0" fontId="5" fillId="5" borderId="3" xfId="0" applyFont="1" applyFill="1" applyBorder="1" applyAlignment="1">
      <alignment vertical="top"/>
    </xf>
    <xf numFmtId="165" fontId="7" fillId="4" borderId="5" xfId="0" applyNumberFormat="1" applyFont="1" applyFill="1" applyBorder="1" applyAlignment="1">
      <alignment horizontal="right"/>
    </xf>
    <xf numFmtId="0" fontId="9" fillId="0" borderId="3" xfId="0" applyFont="1" applyBorder="1" applyAlignment="1">
      <alignment vertical="top"/>
    </xf>
    <xf numFmtId="164" fontId="1" fillId="0" borderId="3" xfId="0" applyNumberFormat="1" applyFont="1" applyBorder="1"/>
    <xf numFmtId="0" fontId="4" fillId="0" borderId="3" xfId="0" applyFont="1" applyBorder="1"/>
    <xf numFmtId="0" fontId="7" fillId="5" borderId="5" xfId="0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167" fontId="10" fillId="0" borderId="3" xfId="0" applyNumberFormat="1" applyFont="1" applyBorder="1" applyAlignment="1">
      <alignment horizontal="center" vertical="center"/>
    </xf>
    <xf numFmtId="0" fontId="0" fillId="0" borderId="0" xfId="0" applyFont="1"/>
    <xf numFmtId="164" fontId="12" fillId="6" borderId="2" xfId="0" applyNumberFormat="1" applyFont="1" applyFill="1" applyBorder="1"/>
    <xf numFmtId="167" fontId="10" fillId="0" borderId="0" xfId="0" applyNumberFormat="1" applyFont="1" applyAlignment="1">
      <alignment horizontal="center" vertical="center"/>
    </xf>
    <xf numFmtId="164" fontId="12" fillId="0" borderId="0" xfId="0" applyNumberFormat="1" applyFont="1"/>
    <xf numFmtId="4" fontId="13" fillId="0" borderId="0" xfId="0" applyNumberFormat="1" applyFont="1"/>
    <xf numFmtId="168" fontId="3" fillId="0" borderId="0" xfId="0" applyNumberFormat="1" applyFont="1"/>
    <xf numFmtId="2" fontId="10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center" vertical="center"/>
    </xf>
    <xf numFmtId="168" fontId="14" fillId="0" borderId="0" xfId="0" applyNumberFormat="1" applyFont="1" applyAlignment="1">
      <alignment horizontal="right"/>
    </xf>
    <xf numFmtId="0" fontId="9" fillId="0" borderId="3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9" fillId="0" borderId="3" xfId="0" applyFont="1" applyBorder="1"/>
    <xf numFmtId="167" fontId="11" fillId="0" borderId="0" xfId="0" applyNumberFormat="1" applyFont="1"/>
    <xf numFmtId="0" fontId="13" fillId="0" borderId="0" xfId="0" applyFont="1"/>
    <xf numFmtId="168" fontId="3" fillId="0" borderId="0" xfId="0" applyNumberFormat="1" applyFont="1" applyAlignment="1">
      <alignment horizontal="right"/>
    </xf>
    <xf numFmtId="166" fontId="0" fillId="0" borderId="0" xfId="0" applyNumberFormat="1" applyFont="1"/>
    <xf numFmtId="169" fontId="11" fillId="0" borderId="0" xfId="0" applyNumberFormat="1" applyFont="1"/>
    <xf numFmtId="0" fontId="0" fillId="6" borderId="2" xfId="0" applyFont="1" applyFill="1" applyBorder="1"/>
    <xf numFmtId="4" fontId="0" fillId="0" borderId="7" xfId="0" applyNumberFormat="1" applyFont="1" applyBorder="1"/>
    <xf numFmtId="4" fontId="10" fillId="0" borderId="0" xfId="0" applyNumberFormat="1" applyFont="1" applyAlignment="1">
      <alignment horizontal="center" vertical="center"/>
    </xf>
    <xf numFmtId="167" fontId="0" fillId="0" borderId="0" xfId="0" applyNumberFormat="1" applyFont="1"/>
    <xf numFmtId="164" fontId="2" fillId="0" borderId="0" xfId="0" applyNumberFormat="1" applyFont="1"/>
    <xf numFmtId="166" fontId="10" fillId="0" borderId="0" xfId="0" applyNumberFormat="1" applyFont="1" applyAlignment="1">
      <alignment horizontal="center" vertical="center"/>
    </xf>
    <xf numFmtId="164" fontId="12" fillId="6" borderId="8" xfId="0" applyNumberFormat="1" applyFont="1" applyFill="1" applyBorder="1"/>
    <xf numFmtId="164" fontId="12" fillId="0" borderId="6" xfId="0" applyNumberFormat="1" applyFont="1" applyBorder="1"/>
    <xf numFmtId="168" fontId="3" fillId="0" borderId="6" xfId="0" applyNumberFormat="1" applyFont="1" applyBorder="1"/>
    <xf numFmtId="167" fontId="10" fillId="5" borderId="2" xfId="0" applyNumberFormat="1" applyFont="1" applyFill="1" applyBorder="1" applyAlignment="1">
      <alignment horizontal="center" vertical="center"/>
    </xf>
    <xf numFmtId="168" fontId="12" fillId="0" borderId="6" xfId="0" applyNumberFormat="1" applyFont="1" applyBorder="1" applyAlignment="1">
      <alignment horizontal="right"/>
    </xf>
    <xf numFmtId="0" fontId="16" fillId="0" borderId="0" xfId="0" applyFont="1"/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4" fontId="16" fillId="0" borderId="0" xfId="0" applyNumberFormat="1" applyFont="1"/>
    <xf numFmtId="167" fontId="0" fillId="0" borderId="3" xfId="0" applyNumberFormat="1" applyFont="1" applyBorder="1"/>
    <xf numFmtId="164" fontId="3" fillId="6" borderId="3" xfId="0" applyNumberFormat="1" applyFont="1" applyFill="1" applyBorder="1"/>
    <xf numFmtId="164" fontId="10" fillId="0" borderId="3" xfId="0" applyNumberFormat="1" applyFont="1" applyBorder="1"/>
    <xf numFmtId="167" fontId="10" fillId="0" borderId="6" xfId="0" applyNumberFormat="1" applyFont="1" applyBorder="1" applyAlignment="1">
      <alignment horizontal="center" vertical="center"/>
    </xf>
    <xf numFmtId="168" fontId="5" fillId="0" borderId="3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center" vertical="center"/>
    </xf>
    <xf numFmtId="168" fontId="9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left" vertical="center"/>
    </xf>
    <xf numFmtId="167" fontId="8" fillId="0" borderId="3" xfId="0" applyNumberFormat="1" applyFont="1" applyBorder="1" applyAlignment="1">
      <alignment horizontal="center" vertical="center"/>
    </xf>
    <xf numFmtId="164" fontId="5" fillId="6" borderId="2" xfId="0" applyNumberFormat="1" applyFont="1" applyFill="1" applyBorder="1"/>
    <xf numFmtId="164" fontId="8" fillId="0" borderId="0" xfId="0" applyNumberFormat="1" applyFont="1"/>
    <xf numFmtId="168" fontId="5" fillId="0" borderId="0" xfId="0" applyNumberFormat="1" applyFont="1"/>
    <xf numFmtId="164" fontId="12" fillId="6" borderId="2" xfId="0" applyNumberFormat="1" applyFont="1" applyFill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6" fontId="4" fillId="0" borderId="3" xfId="0" applyNumberFormat="1" applyFont="1" applyBorder="1"/>
    <xf numFmtId="164" fontId="12" fillId="0" borderId="0" xfId="0" applyNumberFormat="1" applyFont="1" applyAlignment="1">
      <alignment horizontal="left"/>
    </xf>
    <xf numFmtId="167" fontId="4" fillId="0" borderId="3" xfId="0" applyNumberFormat="1" applyFont="1" applyBorder="1"/>
    <xf numFmtId="168" fontId="3" fillId="0" borderId="6" xfId="0" applyNumberFormat="1" applyFont="1" applyBorder="1" applyAlignment="1">
      <alignment horizontal="right"/>
    </xf>
    <xf numFmtId="164" fontId="1" fillId="0" borderId="10" xfId="0" applyNumberFormat="1" applyFont="1" applyBorder="1"/>
    <xf numFmtId="164" fontId="5" fillId="6" borderId="8" xfId="0" applyNumberFormat="1" applyFont="1" applyFill="1" applyBorder="1"/>
    <xf numFmtId="168" fontId="5" fillId="0" borderId="6" xfId="0" applyNumberFormat="1" applyFont="1" applyBorder="1"/>
    <xf numFmtId="164" fontId="8" fillId="0" borderId="6" xfId="0" applyNumberFormat="1" applyFont="1" applyBorder="1"/>
    <xf numFmtId="168" fontId="9" fillId="0" borderId="6" xfId="0" applyNumberFormat="1" applyFont="1" applyBorder="1" applyAlignment="1">
      <alignment horizontal="right"/>
    </xf>
    <xf numFmtId="168" fontId="5" fillId="0" borderId="6" xfId="0" applyNumberFormat="1" applyFont="1" applyBorder="1" applyAlignment="1">
      <alignment horizontal="right"/>
    </xf>
    <xf numFmtId="164" fontId="1" fillId="0" borderId="0" xfId="0" applyNumberFormat="1" applyFont="1"/>
    <xf numFmtId="170" fontId="12" fillId="0" borderId="0" xfId="0" applyNumberFormat="1" applyFont="1"/>
    <xf numFmtId="164" fontId="5" fillId="6" borderId="3" xfId="0" applyNumberFormat="1" applyFont="1" applyFill="1" applyBorder="1"/>
    <xf numFmtId="164" fontId="8" fillId="0" borderId="3" xfId="0" applyNumberFormat="1" applyFont="1" applyBorder="1"/>
    <xf numFmtId="164" fontId="3" fillId="6" borderId="2" xfId="0" applyNumberFormat="1" applyFont="1" applyFill="1" applyBorder="1"/>
    <xf numFmtId="164" fontId="10" fillId="0" borderId="0" xfId="0" applyNumberFormat="1" applyFont="1"/>
    <xf numFmtId="168" fontId="10" fillId="0" borderId="0" xfId="0" applyNumberFormat="1" applyFont="1"/>
    <xf numFmtId="164" fontId="3" fillId="6" borderId="8" xfId="0" applyNumberFormat="1" applyFont="1" applyFill="1" applyBorder="1"/>
    <xf numFmtId="164" fontId="3" fillId="0" borderId="6" xfId="0" applyNumberFormat="1" applyFont="1" applyBorder="1"/>
    <xf numFmtId="166" fontId="0" fillId="0" borderId="3" xfId="0" applyNumberFormat="1" applyFont="1" applyBorder="1"/>
    <xf numFmtId="0" fontId="10" fillId="0" borderId="9" xfId="0" applyFont="1" applyBorder="1" applyAlignment="1">
      <alignment horizontal="center" vertical="center"/>
    </xf>
    <xf numFmtId="164" fontId="10" fillId="0" borderId="6" xfId="0" applyNumberFormat="1" applyFont="1" applyBorder="1"/>
    <xf numFmtId="168" fontId="5" fillId="0" borderId="10" xfId="0" applyNumberFormat="1" applyFont="1" applyBorder="1"/>
    <xf numFmtId="168" fontId="17" fillId="0" borderId="6" xfId="0" applyNumberFormat="1" applyFont="1" applyBorder="1" applyAlignment="1">
      <alignment horizontal="right"/>
    </xf>
    <xf numFmtId="0" fontId="0" fillId="0" borderId="3" xfId="0" applyFont="1" applyBorder="1" applyAlignment="1">
      <alignment horizontal="center"/>
    </xf>
    <xf numFmtId="0" fontId="0" fillId="0" borderId="6" xfId="0" applyFont="1" applyBorder="1"/>
    <xf numFmtId="164" fontId="1" fillId="0" borderId="6" xfId="0" applyNumberFormat="1" applyFont="1" applyBorder="1"/>
    <xf numFmtId="0" fontId="3" fillId="0" borderId="0" xfId="0" applyFont="1" applyAlignment="1">
      <alignment horizontal="right"/>
    </xf>
    <xf numFmtId="170" fontId="3" fillId="0" borderId="0" xfId="0" applyNumberFormat="1" applyFont="1"/>
    <xf numFmtId="167" fontId="3" fillId="0" borderId="0" xfId="0" applyNumberFormat="1" applyFont="1"/>
    <xf numFmtId="0" fontId="3" fillId="0" borderId="6" xfId="0" applyFont="1" applyBorder="1" applyAlignment="1">
      <alignment horizontal="right"/>
    </xf>
    <xf numFmtId="170" fontId="3" fillId="0" borderId="6" xfId="0" applyNumberFormat="1" applyFont="1" applyBorder="1"/>
    <xf numFmtId="167" fontId="3" fillId="0" borderId="3" xfId="0" applyNumberFormat="1" applyFont="1" applyBorder="1"/>
    <xf numFmtId="168" fontId="5" fillId="0" borderId="3" xfId="0" applyNumberFormat="1" applyFont="1" applyBorder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166" fontId="0" fillId="0" borderId="6" xfId="0" applyNumberFormat="1" applyFont="1" applyBorder="1"/>
    <xf numFmtId="4" fontId="0" fillId="0" borderId="13" xfId="0" applyNumberFormat="1" applyFont="1" applyBorder="1"/>
    <xf numFmtId="0" fontId="18" fillId="0" borderId="0" xfId="0" applyFont="1"/>
    <xf numFmtId="0" fontId="11" fillId="0" borderId="3" xfId="0" applyFont="1" applyBorder="1"/>
    <xf numFmtId="0" fontId="7" fillId="0" borderId="3" xfId="0" applyFont="1" applyBorder="1" applyAlignment="1">
      <alignment horizontal="right"/>
    </xf>
    <xf numFmtId="0" fontId="11" fillId="0" borderId="3" xfId="0" applyFont="1" applyBorder="1" applyAlignment="1">
      <alignment horizontal="center" vertical="top"/>
    </xf>
    <xf numFmtId="0" fontId="0" fillId="0" borderId="3" xfId="0" applyFont="1" applyBorder="1"/>
    <xf numFmtId="0" fontId="10" fillId="0" borderId="0" xfId="0" applyFont="1" applyAlignment="1">
      <alignment horizontal="right"/>
    </xf>
    <xf numFmtId="0" fontId="10" fillId="0" borderId="0" xfId="0" applyFont="1"/>
    <xf numFmtId="167" fontId="19" fillId="0" borderId="0" xfId="0" applyNumberFormat="1" applyFont="1" applyAlignment="1">
      <alignment horizontal="right"/>
    </xf>
    <xf numFmtId="167" fontId="10" fillId="0" borderId="0" xfId="0" applyNumberFormat="1" applyFont="1"/>
    <xf numFmtId="0" fontId="10" fillId="0" borderId="0" xfId="0" applyFont="1" applyAlignment="1">
      <alignment horizontal="center"/>
    </xf>
    <xf numFmtId="170" fontId="10" fillId="0" borderId="0" xfId="0" applyNumberFormat="1" applyFont="1"/>
    <xf numFmtId="167" fontId="12" fillId="0" borderId="0" xfId="0" applyNumberFormat="1" applyFont="1" applyAlignment="1">
      <alignment horizontal="right"/>
    </xf>
    <xf numFmtId="167" fontId="20" fillId="0" borderId="0" xfId="0" applyNumberFormat="1" applyFont="1"/>
    <xf numFmtId="167" fontId="10" fillId="0" borderId="0" xfId="0" applyNumberFormat="1" applyFont="1" applyAlignment="1">
      <alignment horizontal="right"/>
    </xf>
    <xf numFmtId="167" fontId="8" fillId="0" borderId="3" xfId="0" applyNumberFormat="1" applyFont="1" applyBorder="1" applyAlignment="1">
      <alignment horizontal="right"/>
    </xf>
    <xf numFmtId="167" fontId="8" fillId="0" borderId="3" xfId="0" applyNumberFormat="1" applyFont="1" applyBorder="1"/>
    <xf numFmtId="167" fontId="9" fillId="0" borderId="3" xfId="0" applyNumberFormat="1" applyFont="1" applyBorder="1" applyAlignment="1">
      <alignment horizontal="right"/>
    </xf>
    <xf numFmtId="0" fontId="10" fillId="0" borderId="6" xfId="0" applyFont="1" applyBorder="1"/>
    <xf numFmtId="167" fontId="0" fillId="0" borderId="6" xfId="0" applyNumberFormat="1" applyFont="1" applyBorder="1"/>
    <xf numFmtId="167" fontId="10" fillId="0" borderId="6" xfId="0" applyNumberFormat="1" applyFont="1" applyBorder="1"/>
    <xf numFmtId="167" fontId="3" fillId="0" borderId="6" xfId="0" applyNumberFormat="1" applyFont="1" applyBorder="1"/>
    <xf numFmtId="167" fontId="2" fillId="0" borderId="0" xfId="0" applyNumberFormat="1" applyFont="1"/>
    <xf numFmtId="0" fontId="8" fillId="0" borderId="6" xfId="0" applyFont="1" applyBorder="1"/>
    <xf numFmtId="0" fontId="10" fillId="0" borderId="3" xfId="0" applyFont="1" applyBorder="1"/>
    <xf numFmtId="167" fontId="8" fillId="0" borderId="11" xfId="0" applyNumberFormat="1" applyFont="1" applyBorder="1"/>
    <xf numFmtId="0" fontId="8" fillId="0" borderId="12" xfId="0" applyFont="1" applyBorder="1"/>
    <xf numFmtId="167" fontId="8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/>
    <xf numFmtId="168" fontId="8" fillId="0" borderId="3" xfId="0" applyNumberFormat="1" applyFont="1" applyBorder="1"/>
    <xf numFmtId="168" fontId="17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left" vertical="top"/>
    </xf>
    <xf numFmtId="0" fontId="0" fillId="0" borderId="0" xfId="0" applyFont="1" applyAlignment="1"/>
    <xf numFmtId="0" fontId="5" fillId="0" borderId="6" xfId="0" applyFont="1" applyBorder="1"/>
    <xf numFmtId="0" fontId="15" fillId="0" borderId="6" xfId="0" applyFont="1" applyBorder="1"/>
    <xf numFmtId="0" fontId="5" fillId="0" borderId="12" xfId="0" applyFont="1" applyBorder="1"/>
    <xf numFmtId="0" fontId="9" fillId="0" borderId="6" xfId="0" applyFont="1" applyBorder="1"/>
    <xf numFmtId="0" fontId="9" fillId="0" borderId="11" xfId="0" applyFont="1" applyBorder="1"/>
    <xf numFmtId="0" fontId="15" fillId="0" borderId="9" xfId="0" applyFont="1" applyBorder="1"/>
    <xf numFmtId="0" fontId="8" fillId="0" borderId="6" xfId="0" applyFont="1" applyBorder="1"/>
    <xf numFmtId="0" fontId="8" fillId="0" borderId="0" xfId="0" applyFont="1"/>
    <xf numFmtId="0" fontId="8" fillId="0" borderId="11" xfId="0" applyFont="1" applyBorder="1"/>
    <xf numFmtId="0" fontId="10" fillId="0" borderId="6" xfId="0" applyFont="1" applyBorder="1"/>
    <xf numFmtId="0" fontId="10" fillId="0" borderId="11" xfId="0" applyFont="1" applyBorder="1"/>
    <xf numFmtId="167" fontId="0" fillId="0" borderId="3" xfId="0" applyNumberFormat="1" applyFont="1" applyBorder="1" applyAlignment="1">
      <alignment horizontal="center"/>
    </xf>
    <xf numFmtId="0" fontId="4" fillId="7" borderId="3" xfId="0" applyFont="1" applyFill="1" applyBorder="1" applyAlignment="1">
      <alignment vertical="top"/>
    </xf>
    <xf numFmtId="166" fontId="0" fillId="7" borderId="0" xfId="0" applyNumberFormat="1" applyFont="1" applyFill="1"/>
    <xf numFmtId="166" fontId="4" fillId="7" borderId="3" xfId="0" applyNumberFormat="1" applyFont="1" applyFill="1" applyBorder="1"/>
    <xf numFmtId="164" fontId="3" fillId="7" borderId="6" xfId="0" applyNumberFormat="1" applyFont="1" applyFill="1" applyBorder="1"/>
    <xf numFmtId="167" fontId="3" fillId="7" borderId="0" xfId="0" applyNumberFormat="1" applyFont="1" applyFill="1"/>
    <xf numFmtId="167" fontId="3" fillId="7" borderId="3" xfId="0" applyNumberFormat="1" applyFont="1" applyFill="1" applyBorder="1"/>
    <xf numFmtId="0" fontId="0" fillId="7" borderId="0" xfId="0" applyFont="1" applyFill="1" applyAlignment="1"/>
    <xf numFmtId="166" fontId="0" fillId="7" borderId="6" xfId="0" applyNumberFormat="1" applyFont="1" applyFill="1" applyBorder="1"/>
    <xf numFmtId="167" fontId="4" fillId="7" borderId="3" xfId="0" applyNumberFormat="1" applyFont="1" applyFill="1" applyBorder="1"/>
    <xf numFmtId="167" fontId="0" fillId="7" borderId="0" xfId="0" applyNumberFormat="1" applyFont="1" applyFill="1"/>
    <xf numFmtId="0" fontId="4" fillId="0" borderId="3" xfId="0" applyFont="1" applyFill="1" applyBorder="1"/>
    <xf numFmtId="167" fontId="0" fillId="0" borderId="2" xfId="0" applyNumberFormat="1" applyFont="1" applyFill="1" applyBorder="1"/>
    <xf numFmtId="167" fontId="0" fillId="0" borderId="8" xfId="0" applyNumberFormat="1" applyFont="1" applyFill="1" applyBorder="1"/>
    <xf numFmtId="167" fontId="0" fillId="0" borderId="0" xfId="0" applyNumberFormat="1" applyFont="1" applyFill="1"/>
    <xf numFmtId="4" fontId="0" fillId="0" borderId="0" xfId="0" applyNumberFormat="1" applyFont="1" applyFill="1"/>
    <xf numFmtId="166" fontId="0" fillId="0" borderId="3" xfId="0" applyNumberFormat="1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0" xfId="0" applyFont="1" applyFill="1" applyAlignment="1"/>
    <xf numFmtId="164" fontId="1" fillId="0" borderId="9" xfId="0" applyNumberFormat="1" applyFont="1" applyBorder="1"/>
    <xf numFmtId="4" fontId="0" fillId="0" borderId="4" xfId="0" applyNumberFormat="1" applyFont="1" applyBorder="1"/>
    <xf numFmtId="164" fontId="5" fillId="0" borderId="14" xfId="0" applyNumberFormat="1" applyFont="1" applyBorder="1"/>
    <xf numFmtId="167" fontId="15" fillId="0" borderId="15" xfId="0" applyNumberFormat="1" applyFont="1" applyBorder="1"/>
    <xf numFmtId="0" fontId="0" fillId="0" borderId="15" xfId="0" applyFont="1" applyBorder="1" applyAlignment="1"/>
    <xf numFmtId="167" fontId="4" fillId="0" borderId="14" xfId="0" applyNumberFormat="1" applyFont="1" applyBorder="1"/>
    <xf numFmtId="0" fontId="0" fillId="0" borderId="4" xfId="0" applyFont="1" applyBorder="1" applyAlignment="1"/>
    <xf numFmtId="0" fontId="0" fillId="0" borderId="4" xfId="0" applyFont="1" applyBorder="1"/>
    <xf numFmtId="0" fontId="0" fillId="0" borderId="8" xfId="0" applyFont="1" applyBorder="1"/>
    <xf numFmtId="166" fontId="0" fillId="0" borderId="9" xfId="0" applyNumberFormat="1" applyFont="1" applyBorder="1"/>
    <xf numFmtId="0" fontId="0" fillId="0" borderId="9" xfId="0" applyFont="1" applyBorder="1"/>
    <xf numFmtId="166" fontId="0" fillId="0" borderId="15" xfId="0" applyNumberFormat="1" applyFont="1" applyBorder="1"/>
    <xf numFmtId="166" fontId="0" fillId="0" borderId="14" xfId="0" applyNumberFormat="1" applyFont="1" applyBorder="1"/>
    <xf numFmtId="0" fontId="0" fillId="0" borderId="16" xfId="0" applyFont="1" applyBorder="1"/>
    <xf numFmtId="0" fontId="0" fillId="0" borderId="15" xfId="0" applyFont="1" applyBorder="1"/>
    <xf numFmtId="0" fontId="0" fillId="0" borderId="14" xfId="0" applyFont="1" applyBorder="1"/>
    <xf numFmtId="4" fontId="21" fillId="0" borderId="9" xfId="0" applyNumberFormat="1" applyFont="1" applyBorder="1"/>
    <xf numFmtId="167" fontId="21" fillId="0" borderId="3" xfId="0" applyNumberFormat="1" applyFont="1" applyFill="1" applyBorder="1"/>
    <xf numFmtId="167" fontId="21" fillId="0" borderId="3" xfId="0" applyNumberFormat="1" applyFont="1" applyBorder="1"/>
    <xf numFmtId="166" fontId="21" fillId="0" borderId="3" xfId="0" applyNumberFormat="1" applyFont="1" applyBorder="1"/>
    <xf numFmtId="166" fontId="21" fillId="0" borderId="14" xfId="0" applyNumberFormat="1" applyFont="1" applyBorder="1"/>
    <xf numFmtId="164" fontId="22" fillId="0" borderId="10" xfId="0" applyNumberFormat="1" applyFont="1" applyBorder="1"/>
    <xf numFmtId="168" fontId="23" fillId="0" borderId="6" xfId="0" applyNumberFormat="1" applyFont="1" applyBorder="1"/>
    <xf numFmtId="167" fontId="21" fillId="7" borderId="3" xfId="0" applyNumberFormat="1" applyFont="1" applyFill="1" applyBorder="1"/>
    <xf numFmtId="167" fontId="24" fillId="0" borderId="3" xfId="0" applyNumberFormat="1" applyFont="1" applyBorder="1"/>
    <xf numFmtId="167" fontId="21" fillId="0" borderId="9" xfId="0" applyNumberFormat="1" applyFont="1" applyBorder="1"/>
    <xf numFmtId="164" fontId="22" fillId="0" borderId="3" xfId="0" applyNumberFormat="1" applyFont="1" applyBorder="1"/>
    <xf numFmtId="0" fontId="2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workbookViewId="0">
      <selection activeCell="B9" sqref="B9"/>
    </sheetView>
  </sheetViews>
  <sheetFormatPr baseColWidth="10" defaultColWidth="11.1640625" defaultRowHeight="15" customHeight="1"/>
  <cols>
    <col min="1" max="1" width="16.83203125" bestFit="1" customWidth="1"/>
    <col min="2" max="2" width="41.1640625" customWidth="1"/>
    <col min="3" max="3" width="27.5" customWidth="1"/>
    <col min="4" max="4" width="24.5" customWidth="1"/>
    <col min="5" max="5" width="21.83203125" customWidth="1"/>
    <col min="6" max="6" width="20.1640625" customWidth="1"/>
    <col min="7" max="7" width="15.83203125" bestFit="1" customWidth="1"/>
    <col min="8" max="8" width="17.83203125" customWidth="1"/>
    <col min="9" max="9" width="20.83203125" customWidth="1"/>
    <col min="10" max="10" width="18" customWidth="1"/>
    <col min="11" max="11" width="16.83203125" customWidth="1"/>
    <col min="12" max="12" width="21.5" customWidth="1"/>
    <col min="13" max="13" width="23.83203125" customWidth="1"/>
    <col min="14" max="14" width="25.33203125" customWidth="1"/>
    <col min="15" max="15" width="30.6640625" customWidth="1"/>
    <col min="16" max="26" width="10.5" customWidth="1"/>
  </cols>
  <sheetData>
    <row r="1" spans="1:15" ht="16">
      <c r="A1" s="149" t="s">
        <v>0</v>
      </c>
      <c r="B1" s="150"/>
    </row>
    <row r="2" spans="1:15" ht="16">
      <c r="A2" s="2" t="s">
        <v>1</v>
      </c>
      <c r="B2" s="6"/>
      <c r="C2" s="163" t="s">
        <v>3</v>
      </c>
      <c r="D2" s="11" t="s">
        <v>4</v>
      </c>
      <c r="E2" s="21" t="s">
        <v>6</v>
      </c>
      <c r="F2" s="184" t="s">
        <v>20</v>
      </c>
      <c r="G2" s="182" t="s">
        <v>21</v>
      </c>
      <c r="H2" s="173" t="s">
        <v>41</v>
      </c>
      <c r="I2" s="26" t="s">
        <v>51</v>
      </c>
      <c r="J2" s="43" t="s">
        <v>52</v>
      </c>
      <c r="K2" s="43" t="s">
        <v>38</v>
      </c>
      <c r="L2" s="45" t="s">
        <v>54</v>
      </c>
      <c r="M2" s="45" t="s">
        <v>40</v>
      </c>
      <c r="N2" s="45" t="s">
        <v>42</v>
      </c>
      <c r="O2" s="45" t="s">
        <v>57</v>
      </c>
    </row>
    <row r="3" spans="1:15" ht="16">
      <c r="A3" s="29">
        <v>3110</v>
      </c>
      <c r="B3" s="30" t="s">
        <v>49</v>
      </c>
      <c r="C3" s="164">
        <f t="shared" ref="C3:C41" si="0">SUM(D3+E3+F3)</f>
        <v>146950</v>
      </c>
      <c r="D3" s="31"/>
      <c r="E3" s="49">
        <f>'Budsjett grupper'!C3</f>
        <v>146950</v>
      </c>
      <c r="F3" s="185">
        <f>'Budsjett hytter'!C3</f>
        <v>0</v>
      </c>
      <c r="G3" s="52">
        <v>670934.59</v>
      </c>
      <c r="H3" s="174">
        <v>191990</v>
      </c>
      <c r="I3" s="55">
        <f>151201.11+35803</f>
        <v>187004.11</v>
      </c>
      <c r="J3" s="38">
        <v>157200</v>
      </c>
      <c r="K3" s="38">
        <v>175656.28</v>
      </c>
      <c r="L3" s="40">
        <v>115700</v>
      </c>
      <c r="M3" s="40">
        <v>113293.82</v>
      </c>
      <c r="N3" s="40">
        <v>320000</v>
      </c>
      <c r="O3" s="40">
        <v>314333</v>
      </c>
    </row>
    <row r="4" spans="1:15" ht="16">
      <c r="A4" s="29">
        <v>3120</v>
      </c>
      <c r="B4" s="30" t="s">
        <v>53</v>
      </c>
      <c r="C4" s="164">
        <f t="shared" si="0"/>
        <v>65000</v>
      </c>
      <c r="D4" s="31"/>
      <c r="E4" s="49">
        <f>'Budsjett grupper'!C4</f>
        <v>65000</v>
      </c>
      <c r="F4" s="185">
        <f>'Budsjett hytter'!C4</f>
        <v>0</v>
      </c>
      <c r="G4" s="52">
        <v>64300</v>
      </c>
      <c r="H4" s="174">
        <v>39300</v>
      </c>
      <c r="I4" s="55">
        <v>121600</v>
      </c>
      <c r="J4" s="38">
        <v>0</v>
      </c>
      <c r="K4" s="38">
        <v>34375</v>
      </c>
      <c r="L4" s="40">
        <v>0</v>
      </c>
      <c r="M4" s="40">
        <v>10000</v>
      </c>
      <c r="N4" s="40">
        <v>20000</v>
      </c>
      <c r="O4" s="40">
        <v>0</v>
      </c>
    </row>
    <row r="5" spans="1:15" ht="16">
      <c r="A5" s="29">
        <v>3400</v>
      </c>
      <c r="B5" s="30" t="s">
        <v>55</v>
      </c>
      <c r="C5" s="164">
        <f t="shared" si="0"/>
        <v>1661000</v>
      </c>
      <c r="D5" s="46">
        <v>1575000</v>
      </c>
      <c r="E5" s="49">
        <f>'Budsjett grupper'!C5</f>
        <v>86000</v>
      </c>
      <c r="F5" s="185">
        <f>'Budsjett hytter'!C5</f>
        <v>0</v>
      </c>
      <c r="G5" s="52">
        <v>1911750</v>
      </c>
      <c r="H5" s="174">
        <v>1350000</v>
      </c>
      <c r="I5" s="55">
        <v>1058000</v>
      </c>
      <c r="J5" s="38">
        <v>1020000</v>
      </c>
      <c r="K5" s="38">
        <v>814000</v>
      </c>
      <c r="L5" s="40">
        <v>814000</v>
      </c>
      <c r="M5" s="40">
        <v>323600</v>
      </c>
      <c r="N5" s="40">
        <v>320000</v>
      </c>
      <c r="O5" s="40">
        <v>532597</v>
      </c>
    </row>
    <row r="6" spans="1:15" ht="16">
      <c r="A6" s="29">
        <v>3440</v>
      </c>
      <c r="B6" s="30" t="s">
        <v>56</v>
      </c>
      <c r="C6" s="164">
        <f t="shared" si="0"/>
        <v>695000</v>
      </c>
      <c r="D6" s="46">
        <v>580000</v>
      </c>
      <c r="E6" s="49">
        <f>'Budsjett grupper'!C6</f>
        <v>115000</v>
      </c>
      <c r="F6" s="185">
        <f>'Budsjett hytter'!C6</f>
        <v>0</v>
      </c>
      <c r="G6" s="52">
        <v>385647</v>
      </c>
      <c r="H6" s="174">
        <v>642500</v>
      </c>
      <c r="I6" s="55">
        <v>749357</v>
      </c>
      <c r="J6" s="38">
        <v>568500</v>
      </c>
      <c r="K6" s="38">
        <v>639423.97</v>
      </c>
      <c r="L6" s="40">
        <v>279500</v>
      </c>
      <c r="M6" s="40">
        <v>0</v>
      </c>
      <c r="N6" s="40">
        <v>200000</v>
      </c>
      <c r="O6" s="40">
        <f>8000+206784</f>
        <v>214784</v>
      </c>
    </row>
    <row r="7" spans="1:15" ht="16">
      <c r="A7" s="29">
        <v>3450</v>
      </c>
      <c r="B7" s="30" t="s">
        <v>73</v>
      </c>
      <c r="C7" s="164">
        <f t="shared" si="0"/>
        <v>350000</v>
      </c>
      <c r="D7" s="46">
        <v>50000</v>
      </c>
      <c r="E7" s="49">
        <f>'Budsjett grupper'!C7</f>
        <v>300000</v>
      </c>
      <c r="F7" s="186"/>
      <c r="G7" s="52">
        <v>329441</v>
      </c>
      <c r="H7" s="174"/>
      <c r="I7" s="55"/>
      <c r="J7" s="38"/>
      <c r="K7" s="38"/>
      <c r="L7" s="40"/>
      <c r="M7" s="40"/>
      <c r="N7" s="40"/>
      <c r="O7" s="40"/>
    </row>
    <row r="8" spans="1:15" ht="16">
      <c r="A8" s="29">
        <v>3480</v>
      </c>
      <c r="B8" s="30" t="s">
        <v>60</v>
      </c>
      <c r="C8" s="164">
        <f t="shared" si="0"/>
        <v>47000</v>
      </c>
      <c r="D8" s="46">
        <v>-750000</v>
      </c>
      <c r="E8" s="49">
        <f>'Budsjett grupper'!C8</f>
        <v>797000</v>
      </c>
      <c r="F8" s="185">
        <f>'Budsjett hytter'!C7</f>
        <v>0</v>
      </c>
      <c r="G8" s="52">
        <v>27000</v>
      </c>
      <c r="H8" s="174">
        <v>-259500</v>
      </c>
      <c r="I8" s="55">
        <v>-14000</v>
      </c>
      <c r="J8" s="38">
        <v>104850</v>
      </c>
      <c r="K8" s="38">
        <v>20420</v>
      </c>
      <c r="L8" s="40">
        <v>0</v>
      </c>
      <c r="M8" s="40">
        <v>0</v>
      </c>
      <c r="N8" s="40">
        <v>0</v>
      </c>
      <c r="O8" s="40">
        <v>0</v>
      </c>
    </row>
    <row r="9" spans="1:15" ht="16">
      <c r="A9" s="29">
        <v>3490</v>
      </c>
      <c r="B9" s="30" t="s">
        <v>61</v>
      </c>
      <c r="C9" s="164">
        <f t="shared" si="0"/>
        <v>400000</v>
      </c>
      <c r="D9" s="46">
        <v>70000</v>
      </c>
      <c r="E9" s="49">
        <f>'Budsjett grupper'!C9</f>
        <v>270000</v>
      </c>
      <c r="F9" s="185">
        <f>'Budsjett hytter'!C8</f>
        <v>60000</v>
      </c>
      <c r="G9" s="52">
        <v>261503.59</v>
      </c>
      <c r="H9" s="174">
        <v>266000</v>
      </c>
      <c r="I9" s="55">
        <v>434028.43</v>
      </c>
      <c r="J9" s="38">
        <v>183000</v>
      </c>
      <c r="K9" s="38">
        <v>510116.31</v>
      </c>
      <c r="L9" s="40">
        <v>112500</v>
      </c>
      <c r="M9" s="40">
        <v>658720.43000000005</v>
      </c>
      <c r="N9" s="40">
        <v>330000</v>
      </c>
      <c r="O9" s="40">
        <v>329666</v>
      </c>
    </row>
    <row r="10" spans="1:15" ht="16">
      <c r="A10" s="29">
        <v>3610</v>
      </c>
      <c r="B10" s="30" t="s">
        <v>62</v>
      </c>
      <c r="C10" s="164">
        <f t="shared" si="0"/>
        <v>285000</v>
      </c>
      <c r="D10" s="46">
        <v>15000</v>
      </c>
      <c r="E10" s="49">
        <f>'Budsjett grupper'!C10</f>
        <v>0</v>
      </c>
      <c r="F10" s="185">
        <f>'Budsjett hytter'!C9</f>
        <v>270000</v>
      </c>
      <c r="G10" s="52">
        <v>635000</v>
      </c>
      <c r="H10" s="174">
        <v>545000</v>
      </c>
      <c r="I10" s="55">
        <v>389550</v>
      </c>
      <c r="J10" s="38">
        <v>566000</v>
      </c>
      <c r="K10" s="38">
        <v>347167</v>
      </c>
      <c r="L10" s="40">
        <v>0</v>
      </c>
      <c r="M10" s="40">
        <v>0</v>
      </c>
      <c r="N10" s="40">
        <v>0</v>
      </c>
      <c r="O10" s="40">
        <v>0</v>
      </c>
    </row>
    <row r="11" spans="1:15" ht="16">
      <c r="A11" s="29">
        <v>3630</v>
      </c>
      <c r="B11" s="30" t="s">
        <v>63</v>
      </c>
      <c r="C11" s="164">
        <f t="shared" si="0"/>
        <v>33000</v>
      </c>
      <c r="D11" s="54"/>
      <c r="E11" s="49">
        <f>'Budsjett grupper'!C11</f>
        <v>33000</v>
      </c>
      <c r="F11" s="185">
        <f>'Budsjett hytter'!C10</f>
        <v>0</v>
      </c>
      <c r="G11" s="52">
        <v>48150.6</v>
      </c>
      <c r="H11" s="174">
        <v>35000</v>
      </c>
      <c r="I11" s="55">
        <v>50975</v>
      </c>
      <c r="J11" s="38">
        <v>25000</v>
      </c>
      <c r="K11" s="38">
        <v>31955</v>
      </c>
      <c r="L11" s="40">
        <v>30000</v>
      </c>
      <c r="M11" s="40">
        <v>7650</v>
      </c>
      <c r="N11" s="40">
        <v>2000</v>
      </c>
      <c r="O11" s="40">
        <v>2000</v>
      </c>
    </row>
    <row r="12" spans="1:15" ht="16">
      <c r="A12" s="29">
        <v>3900</v>
      </c>
      <c r="B12" s="30" t="s">
        <v>64</v>
      </c>
      <c r="C12" s="164">
        <f t="shared" si="0"/>
        <v>305000</v>
      </c>
      <c r="D12" s="46">
        <v>50000</v>
      </c>
      <c r="E12" s="49">
        <f>'Budsjett grupper'!C12</f>
        <v>15000</v>
      </c>
      <c r="F12" s="185">
        <f>'Budsjett hytter'!C11</f>
        <v>240000</v>
      </c>
      <c r="G12" s="52">
        <v>9058</v>
      </c>
      <c r="H12" s="174">
        <v>101000</v>
      </c>
      <c r="I12" s="55">
        <v>640</v>
      </c>
      <c r="J12" s="38">
        <v>101000</v>
      </c>
      <c r="K12" s="38">
        <v>0</v>
      </c>
      <c r="L12" s="40">
        <v>2000</v>
      </c>
      <c r="M12" s="40">
        <v>0</v>
      </c>
      <c r="N12" s="40">
        <v>230000</v>
      </c>
      <c r="O12" s="40">
        <v>235867</v>
      </c>
    </row>
    <row r="13" spans="1:15" ht="16">
      <c r="A13" s="29">
        <v>3910</v>
      </c>
      <c r="B13" s="30" t="s">
        <v>65</v>
      </c>
      <c r="C13" s="164">
        <f t="shared" si="0"/>
        <v>600640</v>
      </c>
      <c r="D13" s="46">
        <v>550000</v>
      </c>
      <c r="E13" s="49">
        <f>'Budsjett grupper'!C13</f>
        <v>50640</v>
      </c>
      <c r="F13" s="185">
        <f>'Budsjett hytter'!C12</f>
        <v>0</v>
      </c>
      <c r="G13" s="52">
        <v>49440</v>
      </c>
      <c r="H13" s="174">
        <v>505000</v>
      </c>
      <c r="I13" s="55">
        <v>514732.67</v>
      </c>
      <c r="J13" s="38">
        <v>450000</v>
      </c>
      <c r="K13" s="38">
        <v>335652</v>
      </c>
      <c r="L13" s="40">
        <v>16800</v>
      </c>
      <c r="M13" s="40">
        <f>172767+450</f>
        <v>173217</v>
      </c>
      <c r="N13" s="40">
        <v>450000</v>
      </c>
      <c r="O13" s="40">
        <v>365</v>
      </c>
    </row>
    <row r="14" spans="1:15" ht="16">
      <c r="A14" s="29">
        <v>3920</v>
      </c>
      <c r="B14" s="30" t="s">
        <v>66</v>
      </c>
      <c r="C14" s="164">
        <f t="shared" si="0"/>
        <v>1485690</v>
      </c>
      <c r="D14" s="54"/>
      <c r="E14" s="49">
        <f>'Budsjett grupper'!C14</f>
        <v>1485690</v>
      </c>
      <c r="F14" s="185">
        <f>'Budsjett hytter'!C13</f>
        <v>0</v>
      </c>
      <c r="G14" s="52">
        <v>1437945</v>
      </c>
      <c r="H14" s="174">
        <v>1434975</v>
      </c>
      <c r="I14" s="55">
        <v>1360611</v>
      </c>
      <c r="J14" s="38">
        <v>1286325</v>
      </c>
      <c r="K14" s="38">
        <v>1372120</v>
      </c>
      <c r="L14" s="40">
        <v>1118120</v>
      </c>
      <c r="M14" s="40">
        <f>1091470+2475</f>
        <v>1093945</v>
      </c>
      <c r="N14" s="40">
        <v>1300000</v>
      </c>
      <c r="O14" s="40">
        <f>573241+701526</f>
        <v>1274767</v>
      </c>
    </row>
    <row r="15" spans="1:15" ht="16">
      <c r="A15" s="29">
        <v>3940</v>
      </c>
      <c r="B15" s="30" t="s">
        <v>67</v>
      </c>
      <c r="C15" s="164">
        <f t="shared" si="0"/>
        <v>120000</v>
      </c>
      <c r="D15" s="46"/>
      <c r="E15" s="49">
        <f>'Budsjett grupper'!C15</f>
        <v>120000</v>
      </c>
      <c r="F15" s="185">
        <f>'Budsjett hytter'!C14</f>
        <v>0</v>
      </c>
      <c r="G15" s="52">
        <v>105086</v>
      </c>
      <c r="H15" s="174">
        <v>118700</v>
      </c>
      <c r="I15" s="55">
        <v>212549.14</v>
      </c>
      <c r="J15" s="38">
        <v>124500</v>
      </c>
      <c r="K15" s="38">
        <v>372578</v>
      </c>
      <c r="L15" s="40">
        <v>161250</v>
      </c>
      <c r="M15" s="40">
        <v>188593</v>
      </c>
      <c r="N15" s="40">
        <v>50000</v>
      </c>
      <c r="O15" s="40">
        <v>33000</v>
      </c>
    </row>
    <row r="16" spans="1:15" ht="16">
      <c r="A16" s="29">
        <v>3950</v>
      </c>
      <c r="B16" s="30" t="s">
        <v>68</v>
      </c>
      <c r="C16" s="164">
        <f t="shared" si="0"/>
        <v>552500</v>
      </c>
      <c r="D16" s="46"/>
      <c r="E16" s="49">
        <f>'Budsjett grupper'!C16</f>
        <v>552500</v>
      </c>
      <c r="F16" s="185">
        <f>'Budsjett hytter'!C15</f>
        <v>0</v>
      </c>
      <c r="G16" s="52">
        <v>392617.64</v>
      </c>
      <c r="H16" s="174">
        <v>442800</v>
      </c>
      <c r="I16" s="55">
        <v>229955.5</v>
      </c>
      <c r="J16" s="38">
        <v>569050</v>
      </c>
      <c r="K16" s="38">
        <v>158131</v>
      </c>
      <c r="L16" s="40">
        <v>470285</v>
      </c>
      <c r="M16" s="40">
        <v>343954.87</v>
      </c>
      <c r="N16" s="40">
        <v>400000</v>
      </c>
      <c r="O16" s="40">
        <v>242781</v>
      </c>
    </row>
    <row r="17" spans="1:15" ht="16">
      <c r="A17" s="29">
        <v>3960</v>
      </c>
      <c r="B17" s="30" t="s">
        <v>69</v>
      </c>
      <c r="C17" s="164">
        <f t="shared" si="0"/>
        <v>587230</v>
      </c>
      <c r="D17" s="46"/>
      <c r="E17" s="49">
        <f>'Budsjett grupper'!C17</f>
        <v>587230</v>
      </c>
      <c r="F17" s="185">
        <f>'Budsjett hytter'!C16</f>
        <v>0</v>
      </c>
      <c r="G17" s="52">
        <v>454774.79</v>
      </c>
      <c r="H17" s="174">
        <v>674970</v>
      </c>
      <c r="I17" s="55">
        <v>609895.44999999995</v>
      </c>
      <c r="J17" s="38">
        <v>664530</v>
      </c>
      <c r="K17" s="38">
        <v>589987.47</v>
      </c>
      <c r="L17" s="40">
        <v>489430</v>
      </c>
      <c r="M17" s="40">
        <v>497972.32</v>
      </c>
      <c r="N17" s="40">
        <v>440000</v>
      </c>
      <c r="O17" s="40">
        <v>444075</v>
      </c>
    </row>
    <row r="18" spans="1:15" ht="16">
      <c r="A18" s="29">
        <v>3970</v>
      </c>
      <c r="B18" s="30" t="s">
        <v>70</v>
      </c>
      <c r="C18" s="164">
        <f t="shared" si="0"/>
        <v>822050</v>
      </c>
      <c r="D18" s="46"/>
      <c r="E18" s="49">
        <f>'Budsjett grupper'!C18</f>
        <v>822050</v>
      </c>
      <c r="F18" s="185">
        <f>'Budsjett hytter'!C17</f>
        <v>0</v>
      </c>
      <c r="G18" s="52">
        <v>299773.8</v>
      </c>
      <c r="H18" s="174">
        <v>737850</v>
      </c>
      <c r="I18" s="55">
        <v>641352.5</v>
      </c>
      <c r="J18" s="38">
        <v>614300</v>
      </c>
      <c r="K18" s="38">
        <v>673042.19</v>
      </c>
      <c r="L18" s="40">
        <v>492800</v>
      </c>
      <c r="M18" s="40">
        <v>374526</v>
      </c>
      <c r="N18" s="40">
        <v>200000</v>
      </c>
      <c r="O18" s="40">
        <v>156626</v>
      </c>
    </row>
    <row r="19" spans="1:15" ht="16">
      <c r="A19" s="29">
        <v>3990</v>
      </c>
      <c r="B19" s="30" t="s">
        <v>71</v>
      </c>
      <c r="C19" s="164">
        <f t="shared" si="0"/>
        <v>-315162</v>
      </c>
      <c r="D19" s="46">
        <v>-600000</v>
      </c>
      <c r="E19" s="49">
        <f>'Budsjett grupper'!C19</f>
        <v>199838</v>
      </c>
      <c r="F19" s="185">
        <f>'Budsjett hytter'!C18</f>
        <v>85000</v>
      </c>
      <c r="G19" s="183">
        <v>567171.07999999996</v>
      </c>
      <c r="H19" s="174">
        <v>354600</v>
      </c>
      <c r="I19" s="55">
        <v>607612.05000000005</v>
      </c>
      <c r="J19" s="38">
        <v>86000</v>
      </c>
      <c r="K19" s="38">
        <v>178884.82</v>
      </c>
      <c r="L19" s="40">
        <v>65800</v>
      </c>
      <c r="M19" s="40">
        <v>853176.39</v>
      </c>
      <c r="N19" s="40">
        <v>450000</v>
      </c>
      <c r="O19" s="40">
        <v>411972</v>
      </c>
    </row>
    <row r="20" spans="1:15" ht="16">
      <c r="A20" s="29">
        <v>3991</v>
      </c>
      <c r="B20" s="30" t="s">
        <v>72</v>
      </c>
      <c r="C20" s="164">
        <f t="shared" si="0"/>
        <v>0</v>
      </c>
      <c r="D20" s="46"/>
      <c r="E20" s="49">
        <f>'Budsjett grupper'!C20</f>
        <v>0</v>
      </c>
      <c r="F20" s="185">
        <f>'Budsjett hytter'!C19</f>
        <v>0</v>
      </c>
      <c r="G20" s="183">
        <v>283.62</v>
      </c>
      <c r="H20" s="174">
        <v>0</v>
      </c>
      <c r="I20" s="55">
        <v>2345.7199999999998</v>
      </c>
      <c r="J20" s="59"/>
      <c r="K20" s="59"/>
      <c r="L20" s="61"/>
      <c r="M20" s="61"/>
      <c r="N20" s="61"/>
      <c r="O20" s="61"/>
    </row>
    <row r="21" spans="1:15" ht="15.75" customHeight="1">
      <c r="A21" s="209" t="s">
        <v>74</v>
      </c>
      <c r="B21" s="64"/>
      <c r="C21" s="165">
        <f t="shared" si="0"/>
        <v>7965898</v>
      </c>
      <c r="D21" s="82">
        <f>'Budsjett HS 2019'!D21</f>
        <v>1665000</v>
      </c>
      <c r="E21" s="80">
        <f>'Budsjett grupper'!C21</f>
        <v>5645898</v>
      </c>
      <c r="F21" s="187">
        <f>'Budsjett hytter'!C20</f>
        <v>655000</v>
      </c>
      <c r="G21" s="198">
        <f t="shared" ref="G21:I21" si="1">SUM(G3:G20)</f>
        <v>7649876.709999999</v>
      </c>
      <c r="H21" s="199">
        <f t="shared" si="1"/>
        <v>7180185</v>
      </c>
      <c r="I21" s="84">
        <f t="shared" si="1"/>
        <v>7156208.5699999994</v>
      </c>
      <c r="J21" s="86">
        <f>SUM(J3:J19)</f>
        <v>6520255</v>
      </c>
      <c r="K21" s="86">
        <v>6275663.04</v>
      </c>
      <c r="L21" s="88">
        <v>5350663</v>
      </c>
      <c r="M21" s="88">
        <f t="shared" ref="M21:N21" si="2">SUM(M3:M19)</f>
        <v>4638648.83</v>
      </c>
      <c r="N21" s="88">
        <f t="shared" si="2"/>
        <v>4712000</v>
      </c>
      <c r="O21" s="88">
        <f>SUM(O3:O19)+3</f>
        <v>4192836</v>
      </c>
    </row>
    <row r="22" spans="1:15" ht="15.75" customHeight="1">
      <c r="A22" s="29"/>
      <c r="B22" s="30"/>
      <c r="C22" s="164"/>
      <c r="D22" s="54"/>
      <c r="E22" s="49"/>
      <c r="F22" s="186"/>
      <c r="G22" s="188"/>
      <c r="H22" s="174"/>
      <c r="I22" s="55"/>
      <c r="J22" s="38"/>
      <c r="K22" s="38"/>
      <c r="L22" s="38"/>
      <c r="M22" s="38"/>
      <c r="N22" s="38"/>
      <c r="O22" s="38"/>
    </row>
    <row r="23" spans="1:15" ht="15.75" customHeight="1">
      <c r="A23" s="29" t="s">
        <v>75</v>
      </c>
      <c r="B23" s="30"/>
      <c r="C23" s="164"/>
      <c r="D23" s="54"/>
      <c r="E23" s="49"/>
      <c r="F23" s="186"/>
      <c r="G23" s="188"/>
      <c r="H23" s="174"/>
      <c r="I23" s="90"/>
      <c r="J23" s="86"/>
      <c r="K23" s="86"/>
      <c r="L23" s="86"/>
      <c r="M23" s="86"/>
      <c r="N23" s="86"/>
      <c r="O23" s="86"/>
    </row>
    <row r="24" spans="1:15" ht="15.75" customHeight="1">
      <c r="A24" s="29">
        <v>5010</v>
      </c>
      <c r="B24" s="30" t="s">
        <v>76</v>
      </c>
      <c r="C24" s="164">
        <f t="shared" si="0"/>
        <v>453125</v>
      </c>
      <c r="D24" s="54">
        <v>405625</v>
      </c>
      <c r="E24" s="49">
        <f>'Budsjett grupper'!C24</f>
        <v>47500</v>
      </c>
      <c r="F24" s="193">
        <f>'Budsjett hytter'!C23</f>
        <v>0</v>
      </c>
      <c r="G24" s="189">
        <v>54098.41</v>
      </c>
      <c r="H24" s="174">
        <v>487500</v>
      </c>
      <c r="I24" s="55">
        <f>372087.55-5000</f>
        <v>367087.55</v>
      </c>
      <c r="J24" s="38">
        <v>131920</v>
      </c>
      <c r="K24" s="38">
        <v>362397.02</v>
      </c>
      <c r="L24" s="40">
        <v>93270</v>
      </c>
      <c r="M24" s="40">
        <v>362667</v>
      </c>
      <c r="N24" s="40">
        <v>480000</v>
      </c>
      <c r="O24" s="40">
        <v>477247</v>
      </c>
    </row>
    <row r="25" spans="1:15" ht="15.75" customHeight="1">
      <c r="A25" s="29">
        <v>5011</v>
      </c>
      <c r="B25" s="30" t="s">
        <v>77</v>
      </c>
      <c r="C25" s="164">
        <f t="shared" si="0"/>
        <v>372950</v>
      </c>
      <c r="D25" s="54"/>
      <c r="E25" s="49">
        <f>'Budsjett grupper'!C25</f>
        <v>372950</v>
      </c>
      <c r="F25" s="193">
        <f>'Budsjett hytter'!C24</f>
        <v>0</v>
      </c>
      <c r="G25" s="183">
        <v>338435.59</v>
      </c>
      <c r="H25" s="174">
        <v>350621</v>
      </c>
      <c r="I25" s="55">
        <v>552175.75</v>
      </c>
      <c r="J25" s="38">
        <v>278500</v>
      </c>
      <c r="K25" s="38">
        <v>318068.40000000002</v>
      </c>
      <c r="L25" s="40">
        <v>129500</v>
      </c>
      <c r="M25" s="40">
        <v>312123</v>
      </c>
      <c r="N25" s="40">
        <v>350000</v>
      </c>
      <c r="O25" s="40">
        <v>335770</v>
      </c>
    </row>
    <row r="26" spans="1:15" ht="15.75" customHeight="1">
      <c r="A26" s="29">
        <v>5020</v>
      </c>
      <c r="B26" s="30" t="s">
        <v>78</v>
      </c>
      <c r="C26" s="164">
        <f t="shared" si="0"/>
        <v>48675</v>
      </c>
      <c r="D26" s="54">
        <v>48675</v>
      </c>
      <c r="E26" s="49">
        <f>'Budsjett grupper'!C26</f>
        <v>0</v>
      </c>
      <c r="F26" s="193">
        <f>'Budsjett hytter'!C25</f>
        <v>0</v>
      </c>
      <c r="G26" s="183">
        <v>499664.5</v>
      </c>
      <c r="H26" s="174">
        <v>42840</v>
      </c>
      <c r="I26" s="55"/>
      <c r="J26" s="38">
        <v>0</v>
      </c>
      <c r="K26" s="38"/>
      <c r="L26" s="40">
        <v>1668.75</v>
      </c>
      <c r="M26" s="40">
        <v>43520</v>
      </c>
      <c r="N26" s="40">
        <f>N24*0.102</f>
        <v>48960</v>
      </c>
      <c r="O26" s="40">
        <v>57269</v>
      </c>
    </row>
    <row r="27" spans="1:15" ht="15.75" customHeight="1">
      <c r="A27" s="29">
        <v>5090</v>
      </c>
      <c r="B27" s="30" t="s">
        <v>79</v>
      </c>
      <c r="C27" s="164">
        <f t="shared" si="0"/>
        <v>45000</v>
      </c>
      <c r="D27" s="54"/>
      <c r="E27" s="49">
        <f>'Budsjett grupper'!C27</f>
        <v>45000</v>
      </c>
      <c r="F27" s="193">
        <f>'Budsjett hytter'!C26</f>
        <v>0</v>
      </c>
      <c r="G27" s="183">
        <v>47104.09</v>
      </c>
      <c r="H27" s="174"/>
      <c r="I27" s="55">
        <v>44650.51</v>
      </c>
      <c r="J27" s="38"/>
      <c r="K27" s="38"/>
      <c r="L27" s="40"/>
      <c r="M27" s="40"/>
      <c r="N27" s="40"/>
      <c r="O27" s="40"/>
    </row>
    <row r="28" spans="1:15" ht="15.75" customHeight="1">
      <c r="A28" s="29">
        <v>5250</v>
      </c>
      <c r="B28" s="30" t="s">
        <v>80</v>
      </c>
      <c r="C28" s="164">
        <f t="shared" si="0"/>
        <v>8000</v>
      </c>
      <c r="D28" s="54">
        <v>8000</v>
      </c>
      <c r="E28" s="49">
        <f>'Budsjett grupper'!C28</f>
        <v>0</v>
      </c>
      <c r="F28" s="193">
        <f>'Budsjett hytter'!C27</f>
        <v>0</v>
      </c>
      <c r="G28" s="183">
        <v>8408</v>
      </c>
      <c r="H28" s="174">
        <v>9000</v>
      </c>
      <c r="I28" s="55">
        <v>8866</v>
      </c>
      <c r="J28" s="38">
        <v>0</v>
      </c>
      <c r="K28" s="38"/>
      <c r="L28" s="40">
        <v>0</v>
      </c>
      <c r="M28" s="40">
        <v>0</v>
      </c>
      <c r="N28" s="40">
        <v>12500</v>
      </c>
      <c r="O28" s="40">
        <v>12409</v>
      </c>
    </row>
    <row r="29" spans="1:15" ht="15.75" customHeight="1">
      <c r="A29" s="29">
        <v>5270</v>
      </c>
      <c r="B29" s="30" t="s">
        <v>81</v>
      </c>
      <c r="C29" s="164">
        <f t="shared" si="0"/>
        <v>5000</v>
      </c>
      <c r="D29" s="54">
        <v>5000</v>
      </c>
      <c r="E29" s="49">
        <f>'Budsjett grupper'!C29</f>
        <v>0</v>
      </c>
      <c r="F29" s="193">
        <f>'Budsjett hytter'!C28</f>
        <v>0</v>
      </c>
      <c r="G29" s="183">
        <v>4758</v>
      </c>
      <c r="H29" s="174">
        <v>4500</v>
      </c>
      <c r="I29" s="55">
        <v>4026</v>
      </c>
      <c r="J29" s="38"/>
      <c r="K29" s="38"/>
      <c r="L29" s="40"/>
      <c r="M29" s="40"/>
      <c r="N29" s="40"/>
      <c r="O29" s="40"/>
    </row>
    <row r="30" spans="1:15" ht="15.75" customHeight="1">
      <c r="A30" s="29">
        <v>5290</v>
      </c>
      <c r="B30" s="30" t="s">
        <v>82</v>
      </c>
      <c r="C30" s="164">
        <f t="shared" si="0"/>
        <v>0</v>
      </c>
      <c r="D30" s="54"/>
      <c r="E30" s="49">
        <f>'Budsjett grupper'!C30</f>
        <v>0</v>
      </c>
      <c r="F30" s="193">
        <f>'Budsjett hytter'!C29</f>
        <v>0</v>
      </c>
      <c r="G30" s="183">
        <v>-13166</v>
      </c>
      <c r="H30" s="174"/>
      <c r="I30" s="55">
        <v>-12892</v>
      </c>
      <c r="J30" s="38"/>
      <c r="K30" s="38"/>
      <c r="L30" s="40"/>
      <c r="M30" s="40"/>
      <c r="N30" s="40"/>
      <c r="O30" s="40"/>
    </row>
    <row r="31" spans="1:15" ht="15.75" customHeight="1">
      <c r="A31" s="29">
        <v>5310</v>
      </c>
      <c r="B31" s="30" t="s">
        <v>83</v>
      </c>
      <c r="C31" s="164">
        <f t="shared" si="0"/>
        <v>0</v>
      </c>
      <c r="D31" s="54"/>
      <c r="E31" s="49">
        <f>'Budsjett grupper'!C31</f>
        <v>0</v>
      </c>
      <c r="F31" s="193">
        <f>'Budsjett hytter'!C30</f>
        <v>0</v>
      </c>
      <c r="G31" s="183">
        <v>785.6</v>
      </c>
      <c r="H31" s="174"/>
      <c r="I31" s="55">
        <v>1282</v>
      </c>
      <c r="J31" s="38"/>
      <c r="K31" s="38"/>
      <c r="L31" s="40"/>
      <c r="M31" s="40"/>
      <c r="N31" s="40"/>
      <c r="O31" s="40"/>
    </row>
    <row r="32" spans="1:15" ht="15.75" customHeight="1">
      <c r="A32" s="29">
        <v>5330</v>
      </c>
      <c r="B32" s="30" t="s">
        <v>84</v>
      </c>
      <c r="C32" s="164">
        <f t="shared" si="0"/>
        <v>0</v>
      </c>
      <c r="D32" s="54"/>
      <c r="E32" s="49">
        <f>'Budsjett grupper'!C32</f>
        <v>0</v>
      </c>
      <c r="F32" s="193">
        <f>'Budsjett hytter'!C31</f>
        <v>0</v>
      </c>
      <c r="G32" s="189"/>
      <c r="H32" s="174"/>
      <c r="I32" s="55">
        <v>1000</v>
      </c>
      <c r="J32" s="38"/>
      <c r="K32" s="38"/>
      <c r="L32" s="40"/>
      <c r="M32" s="40"/>
      <c r="N32" s="40"/>
      <c r="O32" s="40"/>
    </row>
    <row r="33" spans="1:16" ht="15.75" customHeight="1">
      <c r="A33" s="29">
        <v>5350</v>
      </c>
      <c r="B33" s="30" t="s">
        <v>85</v>
      </c>
      <c r="C33" s="164">
        <f t="shared" si="0"/>
        <v>292695</v>
      </c>
      <c r="D33" s="54"/>
      <c r="E33" s="49">
        <f>'Budsjett grupper'!C33</f>
        <v>292695</v>
      </c>
      <c r="F33" s="193">
        <f>'Budsjett hytter'!C32</f>
        <v>0</v>
      </c>
      <c r="G33" s="183">
        <v>10547.82</v>
      </c>
      <c r="H33" s="174">
        <v>263971.21999999997</v>
      </c>
      <c r="I33" s="55">
        <v>39596.589999999997</v>
      </c>
      <c r="J33" s="38">
        <v>233800</v>
      </c>
      <c r="K33" s="38">
        <v>131869.73000000001</v>
      </c>
      <c r="L33" s="40">
        <v>184200</v>
      </c>
      <c r="M33" s="40">
        <v>107604</v>
      </c>
      <c r="N33" s="40">
        <v>2700</v>
      </c>
      <c r="O33" s="40">
        <v>185504</v>
      </c>
    </row>
    <row r="34" spans="1:16" ht="15.75" customHeight="1">
      <c r="A34" s="29">
        <v>5400</v>
      </c>
      <c r="B34" s="30" t="s">
        <v>86</v>
      </c>
      <c r="C34" s="164">
        <f t="shared" si="0"/>
        <v>101043.35</v>
      </c>
      <c r="D34" s="54">
        <v>57193</v>
      </c>
      <c r="E34" s="49">
        <f>'Budsjett grupper'!C34</f>
        <v>43850.35</v>
      </c>
      <c r="F34" s="193">
        <f>'Budsjett hytter'!C33</f>
        <v>0</v>
      </c>
      <c r="G34" s="183">
        <v>140325.25</v>
      </c>
      <c r="H34" s="174">
        <v>119220</v>
      </c>
      <c r="I34" s="55">
        <v>136006.96</v>
      </c>
      <c r="J34" s="96">
        <v>0</v>
      </c>
      <c r="K34" s="38">
        <v>97888.13</v>
      </c>
      <c r="L34" s="40">
        <v>0</v>
      </c>
      <c r="M34" s="40">
        <v>96857</v>
      </c>
      <c r="N34" s="40">
        <v>117030</v>
      </c>
      <c r="O34" s="40">
        <v>124576</v>
      </c>
    </row>
    <row r="35" spans="1:16" ht="15.75" customHeight="1">
      <c r="A35" s="29">
        <v>5411</v>
      </c>
      <c r="B35" s="30" t="s">
        <v>87</v>
      </c>
      <c r="C35" s="164">
        <f t="shared" si="0"/>
        <v>6863</v>
      </c>
      <c r="D35" s="54">
        <v>6863</v>
      </c>
      <c r="E35" s="49">
        <f>'Budsjett grupper'!C35</f>
        <v>0</v>
      </c>
      <c r="F35" s="193">
        <f>'Budsjett hytter'!C34</f>
        <v>0</v>
      </c>
      <c r="G35" s="183">
        <v>6641.68</v>
      </c>
      <c r="H35" s="174">
        <v>6040</v>
      </c>
      <c r="I35" s="55">
        <v>2869.51</v>
      </c>
      <c r="J35" s="96">
        <v>0</v>
      </c>
      <c r="K35" s="38">
        <v>6131.76</v>
      </c>
      <c r="L35" s="40">
        <v>0</v>
      </c>
      <c r="M35" s="40">
        <v>6136</v>
      </c>
      <c r="N35" s="40">
        <v>6903</v>
      </c>
      <c r="O35" s="40">
        <v>8074</v>
      </c>
    </row>
    <row r="36" spans="1:16" ht="15.75" customHeight="1">
      <c r="A36" s="29">
        <v>5510</v>
      </c>
      <c r="B36" s="30" t="s">
        <v>88</v>
      </c>
      <c r="C36" s="164">
        <f t="shared" si="0"/>
        <v>1000</v>
      </c>
      <c r="D36" s="54">
        <v>1000</v>
      </c>
      <c r="E36" s="49">
        <f>'Budsjett grupper'!C36</f>
        <v>0</v>
      </c>
      <c r="F36" s="193">
        <f>'Budsjett hytter'!C35</f>
        <v>0</v>
      </c>
      <c r="G36" s="189"/>
      <c r="H36" s="174">
        <v>2000</v>
      </c>
      <c r="I36" s="55"/>
      <c r="J36" s="96"/>
      <c r="K36" s="38"/>
      <c r="L36" s="40"/>
      <c r="M36" s="40"/>
      <c r="N36" s="40"/>
      <c r="O36" s="40"/>
    </row>
    <row r="37" spans="1:16" ht="15.75" customHeight="1">
      <c r="A37" s="29">
        <v>5900</v>
      </c>
      <c r="B37" s="30" t="s">
        <v>89</v>
      </c>
      <c r="C37" s="164">
        <f t="shared" si="0"/>
        <v>1000</v>
      </c>
      <c r="D37" s="54">
        <v>1000</v>
      </c>
      <c r="E37" s="49">
        <f>'Budsjett grupper'!C37</f>
        <v>0</v>
      </c>
      <c r="F37" s="193">
        <f>'Budsjett hytter'!C36</f>
        <v>0</v>
      </c>
      <c r="G37" s="183">
        <v>4411</v>
      </c>
      <c r="H37" s="174">
        <v>1000</v>
      </c>
      <c r="I37" s="55">
        <v>2138</v>
      </c>
      <c r="J37" s="38">
        <v>0</v>
      </c>
      <c r="K37" s="38"/>
      <c r="L37" s="40">
        <v>0</v>
      </c>
      <c r="M37" s="40">
        <v>0</v>
      </c>
      <c r="N37" s="40">
        <f>N26*0.141</f>
        <v>6903.36</v>
      </c>
      <c r="O37" s="40">
        <v>0</v>
      </c>
    </row>
    <row r="38" spans="1:16" ht="15.75" customHeight="1">
      <c r="A38" s="29">
        <v>5910</v>
      </c>
      <c r="B38" s="30" t="s">
        <v>90</v>
      </c>
      <c r="C38" s="164">
        <f t="shared" si="0"/>
        <v>1000</v>
      </c>
      <c r="D38" s="54">
        <v>1000</v>
      </c>
      <c r="E38" s="49">
        <f>'Budsjett grupper'!C38</f>
        <v>0</v>
      </c>
      <c r="F38" s="193">
        <f>'Budsjett hytter'!C37</f>
        <v>0</v>
      </c>
      <c r="G38" s="183">
        <v>8204.23</v>
      </c>
      <c r="H38" s="174"/>
      <c r="I38" s="55">
        <v>3547.28</v>
      </c>
      <c r="J38" s="38"/>
      <c r="K38" s="38"/>
      <c r="L38" s="40"/>
      <c r="M38" s="40"/>
      <c r="N38" s="40"/>
      <c r="O38" s="40"/>
    </row>
    <row r="39" spans="1:16" ht="15.75" customHeight="1">
      <c r="A39" s="29">
        <v>5945</v>
      </c>
      <c r="B39" s="30" t="s">
        <v>91</v>
      </c>
      <c r="C39" s="164">
        <f t="shared" si="0"/>
        <v>8000</v>
      </c>
      <c r="D39" s="54">
        <v>8000</v>
      </c>
      <c r="E39" s="49">
        <f>'Budsjett grupper'!C39</f>
        <v>0</v>
      </c>
      <c r="F39" s="193">
        <f>'Budsjett hytter'!C38</f>
        <v>0</v>
      </c>
      <c r="G39" s="183">
        <v>9170.1</v>
      </c>
      <c r="H39" s="174">
        <v>10000</v>
      </c>
      <c r="I39" s="55">
        <v>8360.5300000000007</v>
      </c>
      <c r="J39" s="38">
        <v>0</v>
      </c>
      <c r="K39" s="38">
        <v>8208</v>
      </c>
      <c r="L39" s="40">
        <v>0</v>
      </c>
      <c r="M39" s="40">
        <v>14719</v>
      </c>
      <c r="N39" s="40">
        <v>12500</v>
      </c>
      <c r="O39" s="40">
        <v>12409</v>
      </c>
    </row>
    <row r="40" spans="1:16" ht="15.75" customHeight="1">
      <c r="A40" s="29">
        <v>5990</v>
      </c>
      <c r="B40" s="30" t="s">
        <v>92</v>
      </c>
      <c r="C40" s="164">
        <f t="shared" si="0"/>
        <v>17700</v>
      </c>
      <c r="D40" s="54"/>
      <c r="E40" s="49">
        <f>'Budsjett grupper'!C40</f>
        <v>17700</v>
      </c>
      <c r="F40" s="193">
        <f>'Budsjett hytter'!C39</f>
        <v>0</v>
      </c>
      <c r="G40" s="183">
        <v>45509</v>
      </c>
      <c r="H40" s="174">
        <v>34028.339999999997</v>
      </c>
      <c r="I40" s="55">
        <v>10181.799999999999</v>
      </c>
      <c r="J40" s="38">
        <v>9640</v>
      </c>
      <c r="K40" s="59">
        <v>18186</v>
      </c>
      <c r="L40" s="61">
        <v>6500</v>
      </c>
      <c r="M40" s="61">
        <v>20013</v>
      </c>
      <c r="N40" s="61">
        <v>252000</v>
      </c>
      <c r="O40" s="61">
        <v>249545</v>
      </c>
    </row>
    <row r="41" spans="1:16" ht="15.75" customHeight="1">
      <c r="A41" s="209" t="s">
        <v>93</v>
      </c>
      <c r="B41" s="64"/>
      <c r="C41" s="165">
        <f t="shared" si="0"/>
        <v>1379295.35</v>
      </c>
      <c r="D41" s="200">
        <f>'Budsjett HS 2019'!D41</f>
        <v>559600</v>
      </c>
      <c r="E41" s="201">
        <f>'Budsjett grupper'!C41</f>
        <v>819695.35</v>
      </c>
      <c r="F41" s="202">
        <f>'Budsjett hytter'!C40</f>
        <v>0</v>
      </c>
      <c r="G41" s="198">
        <f t="shared" ref="G41:I41" si="3">SUM(G24:G40)</f>
        <v>1164897.2699999998</v>
      </c>
      <c r="H41" s="199">
        <f t="shared" si="3"/>
        <v>1330720.56</v>
      </c>
      <c r="I41" s="84">
        <f t="shared" si="3"/>
        <v>1168896.4800000002</v>
      </c>
      <c r="J41" s="102">
        <v>1199960</v>
      </c>
      <c r="K41" s="86">
        <v>986121.37</v>
      </c>
      <c r="L41" s="88">
        <v>937378.75</v>
      </c>
      <c r="M41" s="88">
        <f>SUM(M24:M40)-2551</f>
        <v>961088</v>
      </c>
      <c r="N41" s="88">
        <f>SUM(N24:N40)</f>
        <v>1289496.3599999999</v>
      </c>
      <c r="O41" s="88">
        <f>SUM(O24:O40)+21752</f>
        <v>1484555</v>
      </c>
    </row>
    <row r="42" spans="1:16" ht="15.75" customHeight="1">
      <c r="A42" s="29"/>
      <c r="B42" s="30"/>
      <c r="C42" s="164"/>
      <c r="E42" s="49"/>
      <c r="F42" s="186"/>
      <c r="G42" s="188"/>
      <c r="H42" s="174"/>
      <c r="I42" s="55"/>
      <c r="J42" s="38"/>
      <c r="K42" s="38"/>
      <c r="L42" s="38"/>
      <c r="M42" s="38"/>
      <c r="N42" s="38"/>
      <c r="O42" s="38"/>
    </row>
    <row r="43" spans="1:16" ht="15.75" customHeight="1">
      <c r="A43" s="151" t="s">
        <v>94</v>
      </c>
      <c r="B43" s="152"/>
      <c r="C43" s="166"/>
      <c r="D43" s="105"/>
      <c r="E43" s="105"/>
      <c r="F43" s="195"/>
      <c r="G43" s="190"/>
      <c r="H43" s="175"/>
      <c r="I43" s="106"/>
      <c r="J43" s="86"/>
      <c r="K43" s="86"/>
      <c r="L43" s="86"/>
      <c r="M43" s="86"/>
      <c r="N43" s="86"/>
      <c r="O43" s="86"/>
    </row>
    <row r="44" spans="1:16" ht="15.75" customHeight="1">
      <c r="A44" s="107">
        <v>6000</v>
      </c>
      <c r="B44" s="108" t="s">
        <v>95</v>
      </c>
      <c r="C44" s="167">
        <f t="shared" ref="C44:C45" si="4">SUM(D44:F44)</f>
        <v>0</v>
      </c>
      <c r="D44" s="33"/>
      <c r="E44" s="33"/>
      <c r="F44" s="196"/>
      <c r="G44" s="189"/>
      <c r="H44" s="176"/>
      <c r="I44" s="55"/>
      <c r="J44" s="38">
        <v>0</v>
      </c>
      <c r="K44" s="38"/>
      <c r="L44" s="40">
        <v>0</v>
      </c>
      <c r="M44" s="38"/>
      <c r="N44" s="38"/>
      <c r="O44" s="38"/>
      <c r="P44" s="33"/>
    </row>
    <row r="45" spans="1:16" ht="15.75" customHeight="1">
      <c r="A45" s="107">
        <v>6010</v>
      </c>
      <c r="B45" s="108" t="s">
        <v>96</v>
      </c>
      <c r="C45" s="167">
        <f t="shared" si="4"/>
        <v>54756</v>
      </c>
      <c r="D45" s="33">
        <f>'Budsjett grupper'!C56</f>
        <v>24756</v>
      </c>
      <c r="E45" s="33"/>
      <c r="F45" s="196">
        <f>'Budsjett hytter'!C55</f>
        <v>30000</v>
      </c>
      <c r="G45" s="189"/>
      <c r="H45" s="177">
        <v>44843</v>
      </c>
      <c r="I45" s="55">
        <v>44843</v>
      </c>
      <c r="J45" s="38">
        <v>0</v>
      </c>
      <c r="K45" s="38">
        <v>64769.8</v>
      </c>
      <c r="L45" s="40">
        <v>0</v>
      </c>
      <c r="M45" s="40">
        <v>138410.51999999999</v>
      </c>
      <c r="N45" s="40">
        <v>75000</v>
      </c>
      <c r="O45" s="40">
        <v>0</v>
      </c>
      <c r="P45" s="33"/>
    </row>
    <row r="46" spans="1:16" ht="15.75" customHeight="1">
      <c r="A46" s="110">
        <v>6015</v>
      </c>
      <c r="B46" s="111" t="s">
        <v>112</v>
      </c>
      <c r="C46" s="167">
        <v>0</v>
      </c>
      <c r="D46" s="33"/>
      <c r="E46" s="33">
        <f>'Budsjett HS 2019'!C63</f>
        <v>20000</v>
      </c>
      <c r="F46" s="196">
        <f>'Budsjett hytter'!C56</f>
        <v>0</v>
      </c>
      <c r="G46" s="189"/>
      <c r="H46" s="177">
        <v>20703</v>
      </c>
      <c r="I46" s="55">
        <v>6901</v>
      </c>
      <c r="J46" s="38"/>
      <c r="K46" s="38"/>
      <c r="L46" s="40"/>
      <c r="M46" s="40"/>
      <c r="N46" s="40"/>
      <c r="O46" s="40"/>
      <c r="P46" s="33"/>
    </row>
    <row r="47" spans="1:16" ht="15.75" customHeight="1">
      <c r="A47" s="153" t="s">
        <v>98</v>
      </c>
      <c r="B47" s="152"/>
      <c r="C47" s="168">
        <f>SUM(C44:C45)</f>
        <v>54756</v>
      </c>
      <c r="D47" s="99">
        <v>0</v>
      </c>
      <c r="E47" s="99">
        <v>0</v>
      </c>
      <c r="F47" s="194">
        <f>SUM(F44:F46)</f>
        <v>30000</v>
      </c>
      <c r="G47" s="191">
        <f t="shared" ref="G47:H47" si="5">SUM(G44:G46)</f>
        <v>0</v>
      </c>
      <c r="H47" s="178">
        <f t="shared" si="5"/>
        <v>65546</v>
      </c>
      <c r="I47" s="26">
        <f>SUM(I44:I46)</f>
        <v>51744</v>
      </c>
      <c r="J47" s="113"/>
      <c r="K47" s="113">
        <f>SUM(K44:K45)</f>
        <v>64769.8</v>
      </c>
      <c r="L47" s="72">
        <v>75000</v>
      </c>
      <c r="M47" s="72">
        <f t="shared" ref="M47:O47" si="6">SUM(M44:M45)</f>
        <v>138410.51999999999</v>
      </c>
      <c r="N47" s="72">
        <f t="shared" si="6"/>
        <v>75000</v>
      </c>
      <c r="O47" s="72">
        <f t="shared" si="6"/>
        <v>0</v>
      </c>
      <c r="P47" s="33"/>
    </row>
    <row r="48" spans="1:16" ht="15.75" customHeight="1">
      <c r="C48" s="169"/>
      <c r="D48" s="33"/>
      <c r="E48" s="33"/>
      <c r="F48" s="196"/>
      <c r="G48" s="189"/>
      <c r="H48" s="176"/>
      <c r="I48" s="55"/>
      <c r="J48" s="38"/>
      <c r="K48" s="38"/>
      <c r="L48" s="38"/>
      <c r="M48" s="38"/>
      <c r="N48" s="38"/>
      <c r="O48" s="38"/>
      <c r="P48" s="33"/>
    </row>
    <row r="49" spans="1:15" ht="15.75" customHeight="1">
      <c r="C49" s="169"/>
      <c r="F49" s="186"/>
      <c r="G49" s="183"/>
      <c r="H49" s="174"/>
      <c r="I49" s="90"/>
      <c r="J49" s="77"/>
      <c r="K49" s="77"/>
      <c r="L49" s="77"/>
      <c r="M49" s="77"/>
      <c r="N49" s="77"/>
      <c r="O49" s="77"/>
    </row>
    <row r="50" spans="1:15" ht="15.75" customHeight="1">
      <c r="A50" s="114" t="s">
        <v>99</v>
      </c>
      <c r="B50" s="115"/>
      <c r="C50" s="170"/>
      <c r="D50" s="105"/>
      <c r="E50" s="116"/>
      <c r="F50" s="195"/>
      <c r="G50" s="183"/>
      <c r="H50" s="175"/>
      <c r="I50" s="105"/>
      <c r="J50" s="105"/>
      <c r="K50" s="105"/>
      <c r="L50" s="105"/>
      <c r="M50" s="105"/>
      <c r="N50" s="105"/>
      <c r="O50" s="105"/>
    </row>
    <row r="51" spans="1:15" ht="15.75" customHeight="1">
      <c r="A51" s="29">
        <v>4110</v>
      </c>
      <c r="B51" s="30" t="s">
        <v>100</v>
      </c>
      <c r="C51" s="164">
        <f>SUM(D51+E51+F51)</f>
        <v>185400</v>
      </c>
      <c r="E51" s="49">
        <f>'Budsjett grupper'!C44</f>
        <v>185400</v>
      </c>
      <c r="F51" s="193">
        <f>'Budsjett hytter'!C43</f>
        <v>0</v>
      </c>
      <c r="G51" s="117">
        <v>298969.01</v>
      </c>
      <c r="H51" s="174">
        <v>207400</v>
      </c>
      <c r="I51" s="55">
        <v>188332.06</v>
      </c>
      <c r="J51" s="38">
        <v>93900</v>
      </c>
      <c r="K51" s="38">
        <v>210509.3</v>
      </c>
      <c r="L51" s="40">
        <v>81000</v>
      </c>
      <c r="M51" s="40">
        <v>115689</v>
      </c>
      <c r="N51" s="40">
        <v>150000</v>
      </c>
      <c r="O51" s="40">
        <v>209406</v>
      </c>
    </row>
    <row r="52" spans="1:15" ht="15.75" customHeight="1">
      <c r="A52" s="29">
        <v>4120</v>
      </c>
      <c r="B52" s="30" t="s">
        <v>101</v>
      </c>
      <c r="C52" s="164">
        <f t="shared" ref="C52:C114" si="7">SUM(D52+E52+F52)</f>
        <v>347500</v>
      </c>
      <c r="D52" s="54">
        <v>10000</v>
      </c>
      <c r="E52" s="49">
        <f>'Budsjett grupper'!C45</f>
        <v>337500</v>
      </c>
      <c r="F52" s="193">
        <f>'Budsjett hytter'!C44</f>
        <v>0</v>
      </c>
      <c r="G52" s="183">
        <v>323956.26</v>
      </c>
      <c r="H52" s="174">
        <v>233700</v>
      </c>
      <c r="I52" s="55">
        <v>271969.28000000003</v>
      </c>
      <c r="J52" s="38">
        <v>152400</v>
      </c>
      <c r="K52" s="38">
        <v>250778.35</v>
      </c>
      <c r="L52" s="40">
        <v>247100</v>
      </c>
      <c r="M52" s="40">
        <v>586345</v>
      </c>
      <c r="N52" s="40">
        <v>350000</v>
      </c>
      <c r="O52" s="38"/>
    </row>
    <row r="53" spans="1:15" ht="15.75" customHeight="1">
      <c r="A53" s="29">
        <v>4150</v>
      </c>
      <c r="B53" s="30" t="s">
        <v>102</v>
      </c>
      <c r="C53" s="164">
        <f t="shared" si="7"/>
        <v>403560</v>
      </c>
      <c r="D53" s="54"/>
      <c r="E53" s="49">
        <f>'Budsjett grupper'!C46</f>
        <v>403560</v>
      </c>
      <c r="F53" s="193">
        <f>'Budsjett hytter'!C45</f>
        <v>0</v>
      </c>
      <c r="G53" s="183">
        <v>63361.34</v>
      </c>
      <c r="H53" s="174">
        <v>78070</v>
      </c>
      <c r="I53" s="55">
        <v>423189.81</v>
      </c>
      <c r="J53" s="38">
        <v>32500</v>
      </c>
      <c r="K53" s="38">
        <v>41624.26</v>
      </c>
      <c r="L53" s="40">
        <v>77500</v>
      </c>
      <c r="M53" s="40">
        <v>320839</v>
      </c>
      <c r="N53" s="40">
        <v>40000</v>
      </c>
      <c r="O53" s="38"/>
    </row>
    <row r="54" spans="1:15" ht="15.75" customHeight="1">
      <c r="A54" s="29">
        <v>4200</v>
      </c>
      <c r="B54" s="30" t="s">
        <v>103</v>
      </c>
      <c r="C54" s="164">
        <f t="shared" si="7"/>
        <v>816619</v>
      </c>
      <c r="D54" s="54">
        <v>2000</v>
      </c>
      <c r="E54" s="49">
        <f>'Budsjett grupper'!C47</f>
        <v>814619</v>
      </c>
      <c r="F54" s="193">
        <f>'Budsjett hytter'!C46</f>
        <v>0</v>
      </c>
      <c r="G54" s="183">
        <v>914655.62</v>
      </c>
      <c r="H54" s="174">
        <v>871958</v>
      </c>
      <c r="I54" s="55">
        <v>995082.14</v>
      </c>
      <c r="J54" s="38">
        <v>874435</v>
      </c>
      <c r="K54" s="38">
        <v>638012.78</v>
      </c>
      <c r="L54" s="40">
        <v>648695</v>
      </c>
      <c r="M54" s="40">
        <v>639355</v>
      </c>
      <c r="N54" s="40">
        <v>350000</v>
      </c>
      <c r="O54" s="38"/>
    </row>
    <row r="55" spans="1:15" ht="15.75" customHeight="1">
      <c r="A55" s="29">
        <v>4300</v>
      </c>
      <c r="B55" s="30" t="s">
        <v>104</v>
      </c>
      <c r="C55" s="164">
        <f t="shared" si="7"/>
        <v>19000</v>
      </c>
      <c r="D55" s="54">
        <v>5000</v>
      </c>
      <c r="E55" s="49">
        <f>'Budsjett grupper'!C48</f>
        <v>14000</v>
      </c>
      <c r="F55" s="193">
        <f>'Budsjett hytter'!C47</f>
        <v>0</v>
      </c>
      <c r="G55" s="183">
        <v>16210.33</v>
      </c>
      <c r="H55" s="174">
        <v>24600</v>
      </c>
      <c r="I55" s="55">
        <v>7700.2</v>
      </c>
      <c r="J55" s="38">
        <v>31800</v>
      </c>
      <c r="K55" s="38">
        <v>11453.1</v>
      </c>
      <c r="L55" s="40">
        <v>14700</v>
      </c>
      <c r="M55" s="40">
        <v>19372</v>
      </c>
      <c r="N55" s="40">
        <v>10000</v>
      </c>
      <c r="O55" s="38"/>
    </row>
    <row r="56" spans="1:15" ht="15.75" customHeight="1">
      <c r="A56" s="29">
        <v>4350</v>
      </c>
      <c r="B56" s="30" t="s">
        <v>105</v>
      </c>
      <c r="C56" s="164">
        <f t="shared" si="7"/>
        <v>0</v>
      </c>
      <c r="D56" s="54"/>
      <c r="E56" s="49">
        <f>'Budsjett grupper'!C49</f>
        <v>0</v>
      </c>
      <c r="F56" s="193">
        <f>'Budsjett hytter'!C48</f>
        <v>0</v>
      </c>
      <c r="G56" s="189"/>
      <c r="H56" s="174"/>
      <c r="I56" s="55">
        <v>1587</v>
      </c>
      <c r="J56" s="38"/>
      <c r="K56" s="38"/>
      <c r="L56" s="40"/>
      <c r="M56" s="40"/>
      <c r="N56" s="40"/>
      <c r="O56" s="38"/>
    </row>
    <row r="57" spans="1:15" ht="15.75" customHeight="1">
      <c r="A57" s="29">
        <v>4500</v>
      </c>
      <c r="B57" s="30" t="s">
        <v>106</v>
      </c>
      <c r="C57" s="164">
        <f t="shared" si="7"/>
        <v>113000</v>
      </c>
      <c r="D57" s="54"/>
      <c r="E57" s="49">
        <f>'Budsjett grupper'!C50</f>
        <v>113000</v>
      </c>
      <c r="F57" s="193">
        <f>'Budsjett hytter'!C49</f>
        <v>0</v>
      </c>
      <c r="G57" s="183">
        <v>70947</v>
      </c>
      <c r="H57" s="174">
        <v>135000</v>
      </c>
      <c r="I57" s="55">
        <v>75853.5</v>
      </c>
      <c r="J57" s="38">
        <v>73000</v>
      </c>
      <c r="K57" s="38">
        <v>112520</v>
      </c>
      <c r="L57" s="40">
        <v>238200</v>
      </c>
      <c r="M57" s="40">
        <v>161090</v>
      </c>
      <c r="N57" s="40">
        <v>100000</v>
      </c>
      <c r="O57" s="40">
        <v>137247</v>
      </c>
    </row>
    <row r="58" spans="1:15" ht="15.75" customHeight="1">
      <c r="A58" s="29">
        <v>4510</v>
      </c>
      <c r="B58" s="30" t="s">
        <v>107</v>
      </c>
      <c r="C58" s="164">
        <f t="shared" si="7"/>
        <v>135750</v>
      </c>
      <c r="D58" s="54">
        <v>15000</v>
      </c>
      <c r="E58" s="49">
        <f>'Budsjett grupper'!C51</f>
        <v>120750</v>
      </c>
      <c r="F58" s="193">
        <f>'Budsjett hytter'!C50</f>
        <v>0</v>
      </c>
      <c r="G58" s="183">
        <v>166439.49</v>
      </c>
      <c r="H58" s="174">
        <v>92955</v>
      </c>
      <c r="I58" s="55">
        <v>106874.83</v>
      </c>
      <c r="J58" s="38">
        <v>126400</v>
      </c>
      <c r="K58" s="38">
        <v>84811.09</v>
      </c>
      <c r="L58" s="40">
        <v>94940</v>
      </c>
      <c r="M58" s="40">
        <v>92454</v>
      </c>
      <c r="N58" s="40">
        <v>130000</v>
      </c>
      <c r="O58" s="38"/>
    </row>
    <row r="59" spans="1:15" ht="15.75" customHeight="1">
      <c r="A59" s="29">
        <v>4590</v>
      </c>
      <c r="B59" s="30" t="s">
        <v>108</v>
      </c>
      <c r="C59" s="164">
        <f t="shared" si="7"/>
        <v>0</v>
      </c>
      <c r="D59" s="54"/>
      <c r="E59" s="49">
        <f>'Budsjett grupper'!C52</f>
        <v>0</v>
      </c>
      <c r="F59" s="193">
        <f>'Budsjett hytter'!C51</f>
        <v>0</v>
      </c>
      <c r="G59" s="183">
        <v>-34253.5</v>
      </c>
      <c r="H59" s="174"/>
      <c r="I59" s="55">
        <v>-7425.63</v>
      </c>
      <c r="J59" s="38">
        <v>0</v>
      </c>
      <c r="K59" s="38">
        <v>-17542</v>
      </c>
      <c r="L59" s="40">
        <v>0</v>
      </c>
      <c r="M59" s="40" t="s">
        <v>173</v>
      </c>
      <c r="N59" s="40">
        <v>0</v>
      </c>
      <c r="O59" s="38"/>
    </row>
    <row r="60" spans="1:15" ht="15.75" customHeight="1">
      <c r="A60" s="29">
        <v>4700</v>
      </c>
      <c r="B60" s="30" t="s">
        <v>109</v>
      </c>
      <c r="C60" s="164">
        <f t="shared" si="7"/>
        <v>583500</v>
      </c>
      <c r="D60" s="54">
        <v>50000</v>
      </c>
      <c r="E60" s="49">
        <f>'Budsjett grupper'!C53</f>
        <v>533500</v>
      </c>
      <c r="F60" s="193">
        <f>'Budsjett hytter'!C52</f>
        <v>0</v>
      </c>
      <c r="G60" s="183">
        <v>546087.5</v>
      </c>
      <c r="H60" s="174">
        <v>548000</v>
      </c>
      <c r="I60" s="55">
        <f>541224.94+2850</f>
        <v>544074.93999999994</v>
      </c>
      <c r="J60" s="38">
        <v>590300</v>
      </c>
      <c r="K60" s="38">
        <v>510547.5</v>
      </c>
      <c r="L60" s="40">
        <v>352100</v>
      </c>
      <c r="M60" s="40">
        <v>282217</v>
      </c>
      <c r="N60" s="40">
        <v>250000</v>
      </c>
      <c r="O60" s="40">
        <v>281363.63</v>
      </c>
    </row>
    <row r="61" spans="1:15" ht="15.75" customHeight="1">
      <c r="A61" s="29">
        <v>4800</v>
      </c>
      <c r="B61" s="30" t="s">
        <v>110</v>
      </c>
      <c r="C61" s="164">
        <f t="shared" si="7"/>
        <v>1040200</v>
      </c>
      <c r="D61" s="54">
        <v>50000</v>
      </c>
      <c r="E61" s="49">
        <f>'Budsjett grupper'!C54</f>
        <v>990200</v>
      </c>
      <c r="F61" s="193">
        <f>'Budsjett hytter'!C53</f>
        <v>0</v>
      </c>
      <c r="G61" s="183">
        <v>838920.74</v>
      </c>
      <c r="H61" s="174">
        <v>928550</v>
      </c>
      <c r="I61" s="55">
        <v>761399.68</v>
      </c>
      <c r="J61" s="38">
        <v>746250</v>
      </c>
      <c r="K61" s="38">
        <v>747893.24</v>
      </c>
      <c r="L61" s="40">
        <v>533650</v>
      </c>
      <c r="M61" s="40" t="s">
        <v>174</v>
      </c>
      <c r="N61" s="40">
        <v>300000</v>
      </c>
      <c r="O61" s="38"/>
    </row>
    <row r="62" spans="1:15" ht="15.75" customHeight="1">
      <c r="A62" s="127">
        <v>4990</v>
      </c>
      <c r="B62" s="128" t="s">
        <v>175</v>
      </c>
      <c r="C62" s="164">
        <f t="shared" si="7"/>
        <v>0</v>
      </c>
      <c r="E62" s="49">
        <v>0</v>
      </c>
      <c r="F62" s="193">
        <v>0</v>
      </c>
      <c r="G62" s="183">
        <v>2091</v>
      </c>
      <c r="H62" s="174"/>
      <c r="I62" s="55"/>
      <c r="J62" s="38"/>
      <c r="K62" s="38"/>
      <c r="L62" s="40"/>
      <c r="M62" s="40"/>
      <c r="N62" s="40"/>
      <c r="O62" s="38"/>
    </row>
    <row r="63" spans="1:15" ht="15.75" customHeight="1">
      <c r="A63" s="29">
        <v>4990</v>
      </c>
      <c r="B63" s="30" t="s">
        <v>111</v>
      </c>
      <c r="C63" s="164">
        <f t="shared" si="7"/>
        <v>381510</v>
      </c>
      <c r="D63" s="54">
        <v>50000</v>
      </c>
      <c r="E63" s="49">
        <f>'Budsjett grupper'!C55</f>
        <v>326510</v>
      </c>
      <c r="F63" s="193">
        <f>'Budsjett hytter'!C54</f>
        <v>5000</v>
      </c>
      <c r="G63" s="183">
        <v>295234.63</v>
      </c>
      <c r="H63" s="174">
        <v>307283.90000000002</v>
      </c>
      <c r="I63" s="55">
        <v>224422.9</v>
      </c>
      <c r="J63" s="38">
        <v>245050</v>
      </c>
      <c r="K63" s="38">
        <v>321192.02</v>
      </c>
      <c r="L63" s="40">
        <v>236550</v>
      </c>
      <c r="M63" s="40" t="s">
        <v>176</v>
      </c>
      <c r="N63" s="40">
        <v>100000</v>
      </c>
      <c r="O63" s="40">
        <f>189682+202228+163489</f>
        <v>555399</v>
      </c>
    </row>
    <row r="64" spans="1:15" ht="15.75" customHeight="1">
      <c r="A64" s="29">
        <v>6010</v>
      </c>
      <c r="B64" s="30" t="s">
        <v>96</v>
      </c>
      <c r="C64" s="164">
        <f t="shared" si="7"/>
        <v>54756</v>
      </c>
      <c r="D64" s="54"/>
      <c r="E64" s="49">
        <f>'Budsjett grupper'!C56</f>
        <v>24756</v>
      </c>
      <c r="F64" s="193">
        <f>'Budsjett hytter'!C55</f>
        <v>30000</v>
      </c>
      <c r="G64" s="183">
        <v>44843</v>
      </c>
      <c r="H64" s="174"/>
      <c r="I64" s="55">
        <v>1853.88</v>
      </c>
      <c r="J64" s="38"/>
      <c r="K64" s="38"/>
      <c r="L64" s="40"/>
      <c r="M64" s="40"/>
      <c r="N64" s="40"/>
      <c r="O64" s="38"/>
    </row>
    <row r="65" spans="1:15" ht="15.75" customHeight="1">
      <c r="A65" s="29">
        <v>6015</v>
      </c>
      <c r="B65" s="30" t="s">
        <v>112</v>
      </c>
      <c r="C65" s="164">
        <f t="shared" si="7"/>
        <v>20000</v>
      </c>
      <c r="D65" s="54">
        <v>20000</v>
      </c>
      <c r="E65" s="49">
        <f>'Budsjett grupper'!C57</f>
        <v>0</v>
      </c>
      <c r="F65" s="193">
        <f>'Budsjett hytter'!C56</f>
        <v>0</v>
      </c>
      <c r="G65" s="183">
        <v>20703</v>
      </c>
      <c r="H65" s="174"/>
      <c r="J65" s="33"/>
    </row>
    <row r="66" spans="1:15" ht="15.75" customHeight="1">
      <c r="A66" s="29">
        <v>6100</v>
      </c>
      <c r="B66" s="30" t="s">
        <v>113</v>
      </c>
      <c r="C66" s="164">
        <f t="shared" si="7"/>
        <v>0</v>
      </c>
      <c r="D66" s="54"/>
      <c r="E66" s="49">
        <f>'Budsjett grupper'!C58</f>
        <v>0</v>
      </c>
      <c r="F66" s="193">
        <f>'Budsjett hytter'!C57</f>
        <v>0</v>
      </c>
      <c r="G66" s="183">
        <v>0</v>
      </c>
      <c r="H66" s="174"/>
      <c r="I66" s="55">
        <v>169.8</v>
      </c>
      <c r="J66" s="38"/>
      <c r="K66" s="38"/>
      <c r="L66" s="40"/>
      <c r="M66" s="40"/>
      <c r="N66" s="40"/>
      <c r="O66" s="40"/>
    </row>
    <row r="67" spans="1:15" ht="15.75" customHeight="1">
      <c r="A67" s="29">
        <v>6110</v>
      </c>
      <c r="B67" s="30" t="s">
        <v>114</v>
      </c>
      <c r="C67" s="164">
        <f t="shared" si="7"/>
        <v>5000</v>
      </c>
      <c r="D67" s="54"/>
      <c r="E67" s="49">
        <f>'Budsjett grupper'!C59</f>
        <v>5000</v>
      </c>
      <c r="F67" s="193">
        <f>'Budsjett hytter'!C58</f>
        <v>0</v>
      </c>
      <c r="G67" s="183">
        <v>0</v>
      </c>
      <c r="H67" s="174">
        <v>8500</v>
      </c>
      <c r="I67" s="55">
        <v>5476.74</v>
      </c>
      <c r="J67" s="38">
        <v>11900</v>
      </c>
      <c r="K67" s="38">
        <v>4466.8</v>
      </c>
      <c r="L67" s="40">
        <v>7000</v>
      </c>
      <c r="M67" s="40">
        <v>0</v>
      </c>
      <c r="N67" s="40">
        <v>1000</v>
      </c>
      <c r="O67" s="40">
        <v>767</v>
      </c>
    </row>
    <row r="68" spans="1:15" ht="15.75" customHeight="1">
      <c r="A68" s="29">
        <v>6300</v>
      </c>
      <c r="B68" s="30" t="s">
        <v>115</v>
      </c>
      <c r="C68" s="164">
        <f t="shared" si="7"/>
        <v>103000</v>
      </c>
      <c r="D68" s="54">
        <v>60000</v>
      </c>
      <c r="E68" s="49">
        <f>'Budsjett grupper'!C60</f>
        <v>43000</v>
      </c>
      <c r="F68" s="193">
        <f>'Budsjett hytter'!C59</f>
        <v>0</v>
      </c>
      <c r="G68" s="183">
        <v>34230</v>
      </c>
      <c r="H68" s="174">
        <v>39000</v>
      </c>
      <c r="I68" s="55">
        <v>24653</v>
      </c>
      <c r="J68" s="38">
        <v>119100</v>
      </c>
      <c r="K68" s="38">
        <v>77122</v>
      </c>
      <c r="L68" s="40">
        <v>114000</v>
      </c>
      <c r="M68" s="40">
        <v>0</v>
      </c>
      <c r="N68" s="40">
        <v>0</v>
      </c>
      <c r="O68" s="38"/>
    </row>
    <row r="69" spans="1:15" ht="15.75" customHeight="1">
      <c r="A69" s="29">
        <v>6320</v>
      </c>
      <c r="B69" s="30" t="s">
        <v>116</v>
      </c>
      <c r="C69" s="164">
        <f t="shared" si="7"/>
        <v>45000</v>
      </c>
      <c r="D69" s="54"/>
      <c r="E69" s="49">
        <f>'Budsjett grupper'!C61</f>
        <v>0</v>
      </c>
      <c r="F69" s="193">
        <f>'Budsjett hytter'!C60</f>
        <v>45000</v>
      </c>
      <c r="G69" s="183">
        <v>48159.82</v>
      </c>
      <c r="H69" s="174">
        <v>60000</v>
      </c>
      <c r="I69" s="55">
        <v>48366.51</v>
      </c>
      <c r="J69" s="38">
        <v>0</v>
      </c>
      <c r="K69" s="38">
        <v>43653.09</v>
      </c>
      <c r="L69" s="40">
        <v>0</v>
      </c>
      <c r="M69" s="40">
        <v>49188</v>
      </c>
      <c r="N69" s="40">
        <v>35000</v>
      </c>
      <c r="O69" s="40">
        <v>33812</v>
      </c>
    </row>
    <row r="70" spans="1:15" ht="15.75" customHeight="1">
      <c r="A70" s="29">
        <v>6340</v>
      </c>
      <c r="B70" s="30" t="s">
        <v>117</v>
      </c>
      <c r="C70" s="164">
        <f t="shared" si="7"/>
        <v>0</v>
      </c>
      <c r="D70" s="54"/>
      <c r="E70" s="49">
        <f>'Budsjett grupper'!C62</f>
        <v>0</v>
      </c>
      <c r="F70" s="193">
        <f>'Budsjett hytter'!C61</f>
        <v>0</v>
      </c>
      <c r="G70" s="183">
        <v>29398.15</v>
      </c>
      <c r="H70" s="174">
        <v>70000</v>
      </c>
      <c r="I70" s="55">
        <v>45898.07</v>
      </c>
      <c r="J70" s="38">
        <v>54000</v>
      </c>
      <c r="K70" s="38">
        <v>84080.960000000006</v>
      </c>
      <c r="L70" s="40">
        <v>0</v>
      </c>
      <c r="M70" s="40">
        <v>58688</v>
      </c>
      <c r="N70" s="40">
        <v>30000</v>
      </c>
      <c r="O70" s="40">
        <v>23621</v>
      </c>
    </row>
    <row r="71" spans="1:15" ht="15.75" customHeight="1">
      <c r="A71" s="29">
        <v>6360</v>
      </c>
      <c r="B71" s="30" t="s">
        <v>118</v>
      </c>
      <c r="C71" s="164">
        <f t="shared" si="7"/>
        <v>500</v>
      </c>
      <c r="D71" s="54"/>
      <c r="E71" s="49">
        <f>'Budsjett grupper'!C63</f>
        <v>500</v>
      </c>
      <c r="F71" s="193">
        <f>'Budsjett hytter'!C62</f>
        <v>0</v>
      </c>
      <c r="G71" s="183">
        <v>0</v>
      </c>
      <c r="H71" s="174"/>
      <c r="I71" s="55">
        <v>3600</v>
      </c>
      <c r="J71" s="38"/>
      <c r="K71" s="38"/>
      <c r="L71" s="40"/>
      <c r="M71" s="40"/>
      <c r="N71" s="40"/>
      <c r="O71" s="40"/>
    </row>
    <row r="72" spans="1:15" ht="15.75" customHeight="1">
      <c r="A72" s="29">
        <v>6390</v>
      </c>
      <c r="B72" s="30" t="s">
        <v>119</v>
      </c>
      <c r="C72" s="164">
        <f t="shared" si="7"/>
        <v>0</v>
      </c>
      <c r="D72" s="54"/>
      <c r="E72" s="49">
        <f>'Budsjett grupper'!C64</f>
        <v>0</v>
      </c>
      <c r="F72" s="193">
        <f>'Budsjett hytter'!C63</f>
        <v>0</v>
      </c>
      <c r="G72" s="183">
        <v>0</v>
      </c>
      <c r="H72" s="174"/>
      <c r="I72" s="55">
        <v>0</v>
      </c>
      <c r="J72" s="38">
        <v>65000</v>
      </c>
      <c r="K72" s="38">
        <v>2065</v>
      </c>
      <c r="L72" s="40">
        <v>0</v>
      </c>
      <c r="M72" s="40">
        <v>38606</v>
      </c>
      <c r="N72" s="40">
        <v>10000</v>
      </c>
      <c r="O72" s="40">
        <v>9528</v>
      </c>
    </row>
    <row r="73" spans="1:15" ht="15.75" customHeight="1">
      <c r="A73" s="29">
        <v>6420</v>
      </c>
      <c r="B73" s="30" t="s">
        <v>120</v>
      </c>
      <c r="C73" s="164">
        <f t="shared" si="7"/>
        <v>0</v>
      </c>
      <c r="D73" s="54"/>
      <c r="E73" s="49">
        <f>'Budsjett grupper'!C65</f>
        <v>0</v>
      </c>
      <c r="F73" s="193">
        <f>'Budsjett hytter'!C64</f>
        <v>0</v>
      </c>
      <c r="G73" s="183">
        <v>600</v>
      </c>
      <c r="H73" s="174"/>
      <c r="I73" s="55">
        <v>0</v>
      </c>
      <c r="J73" s="38">
        <v>9000</v>
      </c>
      <c r="K73" s="38"/>
      <c r="L73" s="40">
        <v>15000</v>
      </c>
      <c r="M73" s="40">
        <v>0</v>
      </c>
      <c r="N73" s="40">
        <v>0</v>
      </c>
      <c r="O73" s="40">
        <v>492</v>
      </c>
    </row>
    <row r="74" spans="1:15" ht="15.75" customHeight="1">
      <c r="A74" s="29">
        <v>6440</v>
      </c>
      <c r="B74" s="30" t="s">
        <v>121</v>
      </c>
      <c r="C74" s="164">
        <f t="shared" si="7"/>
        <v>83000</v>
      </c>
      <c r="D74" s="54"/>
      <c r="E74" s="49">
        <f>'Budsjett grupper'!C66</f>
        <v>83000</v>
      </c>
      <c r="F74" s="193">
        <f>'Budsjett hytter'!C65</f>
        <v>0</v>
      </c>
      <c r="G74" s="183">
        <f>68200.37+518.47</f>
        <v>68718.84</v>
      </c>
      <c r="H74" s="174">
        <v>73000</v>
      </c>
      <c r="I74" s="55">
        <v>65359.31</v>
      </c>
      <c r="J74" s="38">
        <v>69000</v>
      </c>
      <c r="K74" s="38">
        <v>52526.67</v>
      </c>
      <c r="L74" s="40">
        <v>56500</v>
      </c>
      <c r="M74" s="40">
        <v>0</v>
      </c>
      <c r="N74" s="40">
        <v>0</v>
      </c>
      <c r="O74" s="38"/>
    </row>
    <row r="75" spans="1:15" ht="15.75" customHeight="1">
      <c r="A75" s="29">
        <v>6490</v>
      </c>
      <c r="B75" s="30" t="s">
        <v>122</v>
      </c>
      <c r="C75" s="164">
        <f t="shared" si="7"/>
        <v>0</v>
      </c>
      <c r="D75" s="54"/>
      <c r="E75" s="49">
        <f>'Budsjett grupper'!C67</f>
        <v>0</v>
      </c>
      <c r="F75" s="193">
        <f>'Budsjett hytter'!C66</f>
        <v>0</v>
      </c>
      <c r="G75" s="183">
        <v>13130</v>
      </c>
      <c r="H75" s="174"/>
      <c r="I75" s="55">
        <v>1100</v>
      </c>
      <c r="J75" s="38"/>
      <c r="K75" s="38"/>
      <c r="L75" s="40"/>
      <c r="M75" s="40"/>
      <c r="N75" s="40"/>
      <c r="O75" s="38"/>
    </row>
    <row r="76" spans="1:15" ht="15.75" customHeight="1">
      <c r="A76" s="29">
        <v>6540</v>
      </c>
      <c r="B76" s="30" t="s">
        <v>123</v>
      </c>
      <c r="C76" s="164">
        <f t="shared" si="7"/>
        <v>70000</v>
      </c>
      <c r="D76" s="54">
        <v>10000</v>
      </c>
      <c r="E76" s="49">
        <f>'Budsjett grupper'!C68</f>
        <v>0</v>
      </c>
      <c r="F76" s="193">
        <f>'Budsjett hytter'!C67</f>
        <v>60000</v>
      </c>
      <c r="G76" s="183">
        <v>48199.71</v>
      </c>
      <c r="H76" s="174">
        <v>20000</v>
      </c>
      <c r="I76" s="55">
        <v>42272.77</v>
      </c>
      <c r="J76" s="38">
        <v>10000</v>
      </c>
      <c r="K76" s="38">
        <v>33600</v>
      </c>
      <c r="L76" s="40">
        <v>10500</v>
      </c>
      <c r="M76" s="40">
        <v>15793</v>
      </c>
      <c r="N76" s="40">
        <v>30000</v>
      </c>
      <c r="O76" s="40">
        <f>12304+29629</f>
        <v>41933</v>
      </c>
    </row>
    <row r="77" spans="1:15" ht="15.75" customHeight="1">
      <c r="A77" s="29">
        <v>6550</v>
      </c>
      <c r="B77" s="30" t="s">
        <v>124</v>
      </c>
      <c r="C77" s="164">
        <f t="shared" si="7"/>
        <v>106100</v>
      </c>
      <c r="D77" s="54">
        <v>5000</v>
      </c>
      <c r="E77" s="49">
        <f>'Budsjett grupper'!C69</f>
        <v>101100</v>
      </c>
      <c r="F77" s="193">
        <f>'Budsjett hytter'!C68</f>
        <v>0</v>
      </c>
      <c r="G77" s="183">
        <v>51113.38</v>
      </c>
      <c r="H77" s="174">
        <v>114800</v>
      </c>
      <c r="I77" s="55">
        <v>31644.39</v>
      </c>
      <c r="J77" s="38">
        <v>58300</v>
      </c>
      <c r="K77" s="38">
        <v>36786.400000000001</v>
      </c>
      <c r="L77" s="40">
        <v>94300</v>
      </c>
      <c r="M77" s="40">
        <v>13563</v>
      </c>
      <c r="N77" s="40">
        <v>160000</v>
      </c>
      <c r="O77" s="40">
        <f>3144+29629+284030</f>
        <v>316803</v>
      </c>
    </row>
    <row r="78" spans="1:15" ht="15.75" customHeight="1">
      <c r="A78" s="29">
        <v>6570</v>
      </c>
      <c r="B78" s="30" t="s">
        <v>125</v>
      </c>
      <c r="C78" s="164">
        <f t="shared" si="7"/>
        <v>0</v>
      </c>
      <c r="D78" s="54"/>
      <c r="E78" s="49">
        <f>'Budsjett grupper'!C70</f>
        <v>0</v>
      </c>
      <c r="F78" s="193">
        <f>'Budsjett hytter'!C69</f>
        <v>0</v>
      </c>
      <c r="G78" s="183" t="s">
        <v>177</v>
      </c>
      <c r="H78" s="174"/>
      <c r="I78" s="55">
        <v>1536</v>
      </c>
      <c r="J78" s="38"/>
      <c r="K78" s="38"/>
      <c r="L78" s="40"/>
      <c r="M78" s="40"/>
      <c r="N78" s="40"/>
      <c r="O78" s="40"/>
    </row>
    <row r="79" spans="1:15" ht="15.75" customHeight="1">
      <c r="A79" s="29" t="s">
        <v>126</v>
      </c>
      <c r="B79" s="30" t="s">
        <v>127</v>
      </c>
      <c r="C79" s="164">
        <f t="shared" si="7"/>
        <v>220200</v>
      </c>
      <c r="D79" s="54"/>
      <c r="E79" s="49">
        <f>'Budsjett grupper'!C71</f>
        <v>200</v>
      </c>
      <c r="F79" s="193">
        <f>'Budsjett hytter'!C70</f>
        <v>220000</v>
      </c>
      <c r="G79" s="183">
        <f>42977.09+135857.79</f>
        <v>178834.88</v>
      </c>
      <c r="H79" s="174">
        <f>280000</f>
        <v>280000</v>
      </c>
      <c r="I79" s="139">
        <f>166945.38+35145</f>
        <v>202090.38</v>
      </c>
      <c r="J79" s="109">
        <v>260000</v>
      </c>
      <c r="K79" s="109">
        <v>272963.82</v>
      </c>
      <c r="L79" s="129" t="s">
        <v>178</v>
      </c>
      <c r="M79" s="129" t="s">
        <v>178</v>
      </c>
      <c r="N79" s="129" t="s">
        <v>178</v>
      </c>
      <c r="O79" s="129" t="s">
        <v>178</v>
      </c>
    </row>
    <row r="80" spans="1:15" ht="15.75" customHeight="1">
      <c r="A80" s="29">
        <v>6620</v>
      </c>
      <c r="B80" s="30" t="s">
        <v>128</v>
      </c>
      <c r="C80" s="164">
        <f t="shared" si="7"/>
        <v>36000</v>
      </c>
      <c r="D80" s="54"/>
      <c r="E80" s="49">
        <f>'Budsjett grupper'!C72</f>
        <v>21000</v>
      </c>
      <c r="F80" s="193">
        <f>'Budsjett hytter'!C71</f>
        <v>15000</v>
      </c>
      <c r="G80" s="183">
        <v>87088.1</v>
      </c>
      <c r="H80" s="174">
        <v>31500</v>
      </c>
      <c r="I80" s="55">
        <v>21666.75</v>
      </c>
      <c r="J80" s="38">
        <v>34000</v>
      </c>
      <c r="K80" s="38">
        <v>23608.09</v>
      </c>
      <c r="L80" s="40">
        <v>28500</v>
      </c>
      <c r="M80" s="40">
        <v>1984</v>
      </c>
      <c r="N80" s="40">
        <v>360000</v>
      </c>
      <c r="O80" s="40">
        <v>10254</v>
      </c>
    </row>
    <row r="81" spans="1:15" ht="15.75" customHeight="1">
      <c r="A81" s="29">
        <v>6700</v>
      </c>
      <c r="B81" s="30" t="s">
        <v>129</v>
      </c>
      <c r="C81" s="164">
        <f t="shared" si="7"/>
        <v>95000</v>
      </c>
      <c r="D81" s="54">
        <v>90000</v>
      </c>
      <c r="E81" s="49">
        <f>'Budsjett grupper'!C73</f>
        <v>5000</v>
      </c>
      <c r="F81" s="193">
        <f>'Budsjett hytter'!C72</f>
        <v>0</v>
      </c>
      <c r="G81" s="183">
        <v>78062.5</v>
      </c>
      <c r="H81" s="174">
        <v>95000</v>
      </c>
      <c r="I81" s="55">
        <v>95006.25</v>
      </c>
      <c r="J81" s="38">
        <v>80000</v>
      </c>
      <c r="K81" s="38">
        <v>77093.75</v>
      </c>
      <c r="L81" s="40">
        <v>0</v>
      </c>
      <c r="M81" s="40">
        <v>79906</v>
      </c>
      <c r="N81" s="40">
        <v>70000</v>
      </c>
      <c r="O81" s="40">
        <v>19800</v>
      </c>
    </row>
    <row r="82" spans="1:15" ht="15.75" customHeight="1">
      <c r="A82" s="29">
        <v>6712</v>
      </c>
      <c r="B82" s="30" t="s">
        <v>130</v>
      </c>
      <c r="C82" s="164">
        <f t="shared" si="7"/>
        <v>450000</v>
      </c>
      <c r="D82" s="54">
        <v>450000</v>
      </c>
      <c r="E82" s="49">
        <f>'Budsjett grupper'!C74</f>
        <v>0</v>
      </c>
      <c r="F82" s="193">
        <f>'Budsjett hytter'!C73</f>
        <v>0</v>
      </c>
      <c r="G82" s="183">
        <v>471401</v>
      </c>
      <c r="H82" s="174">
        <v>475000</v>
      </c>
      <c r="I82" s="55">
        <v>495748</v>
      </c>
      <c r="J82" s="38">
        <v>400000</v>
      </c>
      <c r="K82" s="38">
        <v>410794</v>
      </c>
      <c r="L82" s="40">
        <v>0</v>
      </c>
      <c r="M82" s="40">
        <v>356288</v>
      </c>
      <c r="N82" s="40">
        <v>300000</v>
      </c>
      <c r="O82" s="40">
        <v>129649</v>
      </c>
    </row>
    <row r="83" spans="1:15" ht="15.75" customHeight="1">
      <c r="A83" s="29">
        <v>6730</v>
      </c>
      <c r="B83" s="30" t="s">
        <v>131</v>
      </c>
      <c r="C83" s="164">
        <f t="shared" si="7"/>
        <v>107500</v>
      </c>
      <c r="D83" s="54"/>
      <c r="E83" s="49">
        <f>'Budsjett grupper'!C75</f>
        <v>107500</v>
      </c>
      <c r="F83" s="193">
        <f>'Budsjett hytter'!C74</f>
        <v>0</v>
      </c>
      <c r="G83" s="183">
        <v>99248.3</v>
      </c>
      <c r="H83" s="174">
        <v>124000</v>
      </c>
      <c r="I83" s="55">
        <v>201159.98</v>
      </c>
      <c r="J83" s="38">
        <v>191500</v>
      </c>
      <c r="K83" s="38">
        <v>234450.32</v>
      </c>
      <c r="L83" s="40">
        <v>0</v>
      </c>
      <c r="M83" s="40">
        <v>0</v>
      </c>
      <c r="N83" s="40">
        <v>3500</v>
      </c>
      <c r="O83" s="40">
        <v>3400</v>
      </c>
    </row>
    <row r="84" spans="1:15" ht="15.75" customHeight="1">
      <c r="A84" s="29">
        <v>6790</v>
      </c>
      <c r="B84" s="30" t="s">
        <v>132</v>
      </c>
      <c r="C84" s="164">
        <f t="shared" si="7"/>
        <v>49500</v>
      </c>
      <c r="D84" s="54"/>
      <c r="E84" s="49">
        <f>'Budsjett grupper'!C76</f>
        <v>2500</v>
      </c>
      <c r="F84" s="193">
        <f>'Budsjett hytter'!C75</f>
        <v>47000</v>
      </c>
      <c r="G84" s="183">
        <v>0</v>
      </c>
      <c r="H84" s="174">
        <v>128500</v>
      </c>
      <c r="I84" s="55">
        <v>11400</v>
      </c>
      <c r="J84" s="38">
        <v>100000</v>
      </c>
      <c r="K84" s="38">
        <v>16000</v>
      </c>
      <c r="L84" s="40">
        <v>285000</v>
      </c>
      <c r="M84" s="40">
        <v>8406</v>
      </c>
      <c r="N84" s="40">
        <v>160000</v>
      </c>
      <c r="O84" s="40">
        <v>155460</v>
      </c>
    </row>
    <row r="85" spans="1:15" ht="15.75" customHeight="1">
      <c r="A85" s="29">
        <v>6800</v>
      </c>
      <c r="B85" s="30" t="s">
        <v>133</v>
      </c>
      <c r="C85" s="164">
        <f t="shared" si="7"/>
        <v>500</v>
      </c>
      <c r="D85" s="54"/>
      <c r="E85" s="49">
        <f>'Budsjett grupper'!C77</f>
        <v>500</v>
      </c>
      <c r="F85" s="193">
        <f>'Budsjett hytter'!C76</f>
        <v>0</v>
      </c>
      <c r="G85" s="183">
        <v>2247.9</v>
      </c>
      <c r="H85" s="174">
        <v>6500</v>
      </c>
      <c r="I85" s="55">
        <v>6707.3</v>
      </c>
      <c r="J85" s="38">
        <v>9100</v>
      </c>
      <c r="K85" s="38">
        <v>5249</v>
      </c>
      <c r="L85" s="40">
        <v>2200</v>
      </c>
      <c r="M85" s="40">
        <v>1296</v>
      </c>
      <c r="N85" s="40">
        <v>6000</v>
      </c>
      <c r="O85" s="40">
        <v>5419</v>
      </c>
    </row>
    <row r="86" spans="1:15" ht="15.75" customHeight="1">
      <c r="A86" s="29">
        <v>6810</v>
      </c>
      <c r="B86" s="30" t="s">
        <v>134</v>
      </c>
      <c r="C86" s="164">
        <f t="shared" si="7"/>
        <v>2209</v>
      </c>
      <c r="D86" s="54">
        <v>2000</v>
      </c>
      <c r="E86" s="49">
        <f>'Budsjett grupper'!C78</f>
        <v>209</v>
      </c>
      <c r="F86" s="193">
        <f>'Budsjett hytter'!C77</f>
        <v>0</v>
      </c>
      <c r="G86" s="183">
        <v>4974</v>
      </c>
      <c r="H86" s="174">
        <v>15325</v>
      </c>
      <c r="I86" s="55">
        <v>16675</v>
      </c>
      <c r="J86" s="38">
        <v>13645</v>
      </c>
      <c r="K86" s="38">
        <v>1925.79</v>
      </c>
      <c r="L86" s="40">
        <v>2160</v>
      </c>
      <c r="M86" s="40">
        <v>33280</v>
      </c>
      <c r="N86" s="40">
        <v>1500</v>
      </c>
      <c r="O86" s="40">
        <v>1355</v>
      </c>
    </row>
    <row r="87" spans="1:15" ht="15.75" customHeight="1">
      <c r="A87" s="29">
        <v>6811</v>
      </c>
      <c r="B87" s="30" t="s">
        <v>135</v>
      </c>
      <c r="C87" s="164">
        <f t="shared" si="7"/>
        <v>83776.25</v>
      </c>
      <c r="D87" s="54">
        <v>70000</v>
      </c>
      <c r="E87" s="49">
        <f>'Budsjett grupper'!C79</f>
        <v>13776.25</v>
      </c>
      <c r="F87" s="193">
        <f>'Budsjett hytter'!C78</f>
        <v>0</v>
      </c>
      <c r="G87" s="183">
        <v>64593.64</v>
      </c>
      <c r="H87" s="174">
        <v>13288.75</v>
      </c>
      <c r="I87" s="55">
        <v>46205.91</v>
      </c>
      <c r="J87" s="38">
        <v>91000</v>
      </c>
      <c r="K87" s="38">
        <v>81640.98</v>
      </c>
      <c r="L87" s="40">
        <v>4960</v>
      </c>
      <c r="M87" s="40">
        <v>10680</v>
      </c>
      <c r="N87" s="40">
        <v>30000</v>
      </c>
      <c r="O87" s="40">
        <v>25764</v>
      </c>
    </row>
    <row r="88" spans="1:15" ht="15.75" customHeight="1">
      <c r="A88" s="29">
        <v>6820</v>
      </c>
      <c r="B88" s="30" t="s">
        <v>136</v>
      </c>
      <c r="C88" s="164">
        <f t="shared" si="7"/>
        <v>58700</v>
      </c>
      <c r="D88" s="54">
        <v>5000</v>
      </c>
      <c r="E88" s="49">
        <f>'Budsjett grupper'!C80</f>
        <v>53700</v>
      </c>
      <c r="F88" s="193">
        <f>'Budsjett hytter'!C79</f>
        <v>0</v>
      </c>
      <c r="G88" s="183">
        <v>23641.1</v>
      </c>
      <c r="H88" s="174">
        <v>73600</v>
      </c>
      <c r="I88" s="55">
        <v>28748.9</v>
      </c>
      <c r="J88" s="38">
        <v>45200</v>
      </c>
      <c r="K88" s="38">
        <v>12645.5</v>
      </c>
      <c r="L88" s="40">
        <v>24100</v>
      </c>
      <c r="M88" s="40">
        <v>15511</v>
      </c>
      <c r="N88" s="40">
        <v>15000</v>
      </c>
      <c r="O88" s="40">
        <v>13155</v>
      </c>
    </row>
    <row r="89" spans="1:15" ht="15.75" customHeight="1">
      <c r="A89" s="29">
        <v>6840</v>
      </c>
      <c r="B89" s="30" t="s">
        <v>137</v>
      </c>
      <c r="C89" s="164">
        <f t="shared" si="7"/>
        <v>500</v>
      </c>
      <c r="D89" s="54"/>
      <c r="E89" s="49">
        <f>'Budsjett grupper'!C81</f>
        <v>500</v>
      </c>
      <c r="F89" s="193">
        <f>'Budsjett hytter'!C80</f>
        <v>0</v>
      </c>
      <c r="G89" s="183">
        <v>500</v>
      </c>
      <c r="H89" s="174">
        <v>2060</v>
      </c>
      <c r="I89" s="55">
        <v>999</v>
      </c>
      <c r="J89" s="38">
        <v>2120</v>
      </c>
      <c r="K89" s="38">
        <v>1359</v>
      </c>
      <c r="L89" s="40">
        <v>1440</v>
      </c>
      <c r="M89" s="40">
        <v>2193</v>
      </c>
      <c r="N89" s="40">
        <v>1500</v>
      </c>
      <c r="O89" s="40">
        <v>1238</v>
      </c>
    </row>
    <row r="90" spans="1:15" ht="15.75" customHeight="1">
      <c r="A90" s="29">
        <v>6860</v>
      </c>
      <c r="B90" s="30" t="s">
        <v>138</v>
      </c>
      <c r="C90" s="164">
        <f t="shared" si="7"/>
        <v>146000</v>
      </c>
      <c r="D90" s="54">
        <v>10000</v>
      </c>
      <c r="E90" s="49">
        <f>'Budsjett grupper'!C82</f>
        <v>136000</v>
      </c>
      <c r="F90" s="193">
        <f>'Budsjett hytter'!C81</f>
        <v>0</v>
      </c>
      <c r="G90" s="183">
        <v>102994</v>
      </c>
      <c r="H90" s="174">
        <v>70600</v>
      </c>
      <c r="I90" s="55">
        <v>90660.9</v>
      </c>
      <c r="J90" s="38">
        <v>106700</v>
      </c>
      <c r="K90" s="38">
        <v>40642.42</v>
      </c>
      <c r="L90" s="40">
        <v>61500</v>
      </c>
      <c r="M90" s="40">
        <v>45748</v>
      </c>
      <c r="N90" s="40">
        <v>80000</v>
      </c>
      <c r="O90" s="40">
        <v>37115</v>
      </c>
    </row>
    <row r="91" spans="1:15" ht="15.75" customHeight="1">
      <c r="A91" s="29">
        <v>6900</v>
      </c>
      <c r="B91" s="30" t="s">
        <v>139</v>
      </c>
      <c r="C91" s="164">
        <f t="shared" si="7"/>
        <v>3000</v>
      </c>
      <c r="D91" s="54">
        <v>3000</v>
      </c>
      <c r="E91" s="49">
        <f>'Budsjett grupper'!C83</f>
        <v>0</v>
      </c>
      <c r="F91" s="193">
        <f>'Budsjett hytter'!C82</f>
        <v>0</v>
      </c>
      <c r="G91" s="183">
        <v>3504.66</v>
      </c>
      <c r="H91" s="174">
        <v>15000</v>
      </c>
      <c r="I91" s="55">
        <v>7240.97</v>
      </c>
      <c r="J91" s="38">
        <v>11000</v>
      </c>
      <c r="K91" s="38">
        <v>10387.530000000001</v>
      </c>
      <c r="L91" s="40">
        <v>0</v>
      </c>
      <c r="M91" s="40">
        <v>9577</v>
      </c>
      <c r="N91" s="40">
        <v>4000</v>
      </c>
      <c r="O91" s="40">
        <v>220</v>
      </c>
    </row>
    <row r="92" spans="1:15" ht="15.75" customHeight="1">
      <c r="A92" s="29">
        <v>6940</v>
      </c>
      <c r="B92" s="30" t="s">
        <v>140</v>
      </c>
      <c r="C92" s="164">
        <f t="shared" si="7"/>
        <v>0</v>
      </c>
      <c r="D92" s="54"/>
      <c r="E92" s="49">
        <f>'Budsjett grupper'!C84</f>
        <v>0</v>
      </c>
      <c r="F92" s="193">
        <f>'Budsjett hytter'!C83</f>
        <v>0</v>
      </c>
      <c r="G92" s="183">
        <f>414+3000</f>
        <v>3414</v>
      </c>
      <c r="H92" s="174">
        <v>5000</v>
      </c>
      <c r="I92" s="55">
        <v>1975.4</v>
      </c>
      <c r="J92" s="38">
        <v>5400</v>
      </c>
      <c r="K92" s="38">
        <v>4208</v>
      </c>
      <c r="L92" s="40">
        <v>600</v>
      </c>
      <c r="M92" s="40">
        <v>812</v>
      </c>
      <c r="N92" s="40">
        <v>1000</v>
      </c>
      <c r="O92" s="40">
        <v>962</v>
      </c>
    </row>
    <row r="93" spans="1:15" ht="15.75" customHeight="1">
      <c r="A93" s="29">
        <v>7100</v>
      </c>
      <c r="B93" s="30" t="s">
        <v>141</v>
      </c>
      <c r="C93" s="164">
        <f t="shared" si="7"/>
        <v>63000</v>
      </c>
      <c r="D93" s="54"/>
      <c r="E93" s="49">
        <f>'Budsjett grupper'!C85</f>
        <v>63000</v>
      </c>
      <c r="F93" s="193">
        <f>'Budsjett hytter'!C84</f>
        <v>0</v>
      </c>
      <c r="G93" s="183">
        <v>43052.29</v>
      </c>
      <c r="H93" s="174">
        <v>54455.5</v>
      </c>
      <c r="I93" s="55">
        <v>38492.300000000003</v>
      </c>
      <c r="J93" s="38">
        <v>64000</v>
      </c>
      <c r="K93" s="38">
        <v>63023</v>
      </c>
      <c r="L93" s="40">
        <v>48500</v>
      </c>
      <c r="M93" s="40">
        <v>28983</v>
      </c>
      <c r="N93" s="40">
        <v>40000</v>
      </c>
      <c r="O93" s="40">
        <v>35357</v>
      </c>
    </row>
    <row r="94" spans="1:15" ht="15.75" customHeight="1">
      <c r="A94" s="29">
        <v>7101</v>
      </c>
      <c r="B94" s="30" t="s">
        <v>142</v>
      </c>
      <c r="C94" s="164">
        <f t="shared" si="7"/>
        <v>0</v>
      </c>
      <c r="D94" s="54"/>
      <c r="E94" s="49">
        <f>'Budsjett grupper'!C86</f>
        <v>0</v>
      </c>
      <c r="F94" s="193">
        <f>'Budsjett hytter'!C85</f>
        <v>0</v>
      </c>
      <c r="G94" s="183">
        <v>3238.5</v>
      </c>
      <c r="H94" s="174"/>
      <c r="I94" s="55">
        <v>1884.6</v>
      </c>
      <c r="J94" s="38"/>
      <c r="K94" s="38"/>
      <c r="L94" s="40"/>
      <c r="M94" s="40"/>
      <c r="N94" s="40"/>
      <c r="O94" s="40"/>
    </row>
    <row r="95" spans="1:15" ht="15.75" customHeight="1">
      <c r="A95" s="29">
        <v>7110</v>
      </c>
      <c r="B95" s="30" t="s">
        <v>143</v>
      </c>
      <c r="C95" s="164">
        <f t="shared" si="7"/>
        <v>0</v>
      </c>
      <c r="D95" s="54"/>
      <c r="E95" s="49">
        <f>'Budsjett grupper'!C87</f>
        <v>0</v>
      </c>
      <c r="F95" s="193">
        <f>'Budsjett hytter'!C86</f>
        <v>0</v>
      </c>
      <c r="G95" s="183"/>
      <c r="H95" s="174">
        <v>7233.2</v>
      </c>
      <c r="I95" s="55">
        <v>0</v>
      </c>
      <c r="J95" s="38">
        <v>6500</v>
      </c>
      <c r="K95" s="38">
        <v>670</v>
      </c>
      <c r="L95" s="40">
        <v>11000</v>
      </c>
      <c r="M95" s="40">
        <v>343</v>
      </c>
      <c r="N95" s="40">
        <v>5000</v>
      </c>
      <c r="O95" s="40">
        <v>4359</v>
      </c>
    </row>
    <row r="96" spans="1:15" ht="15.75" customHeight="1">
      <c r="A96" s="29">
        <v>7140</v>
      </c>
      <c r="B96" s="30" t="s">
        <v>144</v>
      </c>
      <c r="C96" s="164">
        <f t="shared" si="7"/>
        <v>124210</v>
      </c>
      <c r="D96" s="54"/>
      <c r="E96" s="49">
        <f>'Budsjett grupper'!C88</f>
        <v>124210</v>
      </c>
      <c r="F96" s="193">
        <f>'Budsjett hytter'!C87</f>
        <v>0</v>
      </c>
      <c r="G96" s="183">
        <v>95208.77</v>
      </c>
      <c r="H96" s="174"/>
      <c r="I96" s="55">
        <v>61094.83</v>
      </c>
      <c r="J96" s="38">
        <v>0</v>
      </c>
      <c r="K96" s="38">
        <v>14559</v>
      </c>
      <c r="L96" s="40">
        <v>0</v>
      </c>
      <c r="M96" s="40">
        <v>21436</v>
      </c>
      <c r="N96" s="40">
        <v>0</v>
      </c>
      <c r="O96" s="38"/>
    </row>
    <row r="97" spans="1:15" ht="15.75" customHeight="1">
      <c r="A97" s="29">
        <v>7150</v>
      </c>
      <c r="B97" s="30" t="s">
        <v>145</v>
      </c>
      <c r="C97" s="164">
        <f t="shared" si="7"/>
        <v>0</v>
      </c>
      <c r="D97" s="54"/>
      <c r="E97" s="49">
        <f>'Budsjett grupper'!C89</f>
        <v>0</v>
      </c>
      <c r="F97" s="193">
        <f>'Budsjett hytter'!C88</f>
        <v>0</v>
      </c>
      <c r="G97" s="183">
        <f>5519+690</f>
        <v>6209</v>
      </c>
      <c r="H97" s="174"/>
      <c r="I97" s="55">
        <v>9005</v>
      </c>
      <c r="J97" s="38"/>
      <c r="K97" s="38"/>
      <c r="L97" s="40"/>
      <c r="M97" s="40"/>
      <c r="N97" s="40"/>
      <c r="O97" s="38"/>
    </row>
    <row r="98" spans="1:15" ht="15.75" customHeight="1">
      <c r="A98" s="29">
        <v>7300</v>
      </c>
      <c r="B98" s="30" t="s">
        <v>147</v>
      </c>
      <c r="C98" s="164">
        <f t="shared" si="7"/>
        <v>0</v>
      </c>
      <c r="D98" s="54"/>
      <c r="E98" s="49">
        <f>'Budsjett grupper'!C90</f>
        <v>0</v>
      </c>
      <c r="F98" s="193">
        <f>'Budsjett hytter'!C89</f>
        <v>0</v>
      </c>
      <c r="G98" s="183">
        <v>690</v>
      </c>
      <c r="H98" s="174"/>
      <c r="I98" s="55">
        <v>117</v>
      </c>
      <c r="J98" s="38"/>
      <c r="K98" s="38"/>
      <c r="L98" s="40"/>
      <c r="M98" s="40"/>
      <c r="N98" s="40"/>
      <c r="O98" s="38"/>
    </row>
    <row r="99" spans="1:15" ht="15.75" customHeight="1">
      <c r="A99" s="29">
        <v>7320</v>
      </c>
      <c r="B99" s="30" t="s">
        <v>148</v>
      </c>
      <c r="C99" s="164">
        <f t="shared" si="7"/>
        <v>64000</v>
      </c>
      <c r="D99" s="54">
        <v>30000</v>
      </c>
      <c r="E99" s="49">
        <f>'Budsjett grupper'!C91</f>
        <v>34000</v>
      </c>
      <c r="F99" s="193">
        <f>'Budsjett hytter'!C90</f>
        <v>0</v>
      </c>
      <c r="G99" s="183">
        <v>26439.08</v>
      </c>
      <c r="H99" s="174"/>
      <c r="I99" s="55">
        <v>38796.980000000003</v>
      </c>
      <c r="J99" s="38">
        <v>60550</v>
      </c>
      <c r="K99" s="38">
        <v>26570.67</v>
      </c>
      <c r="L99" s="40">
        <v>19000</v>
      </c>
      <c r="M99" s="40">
        <v>6886</v>
      </c>
      <c r="N99" s="40">
        <v>50000</v>
      </c>
      <c r="O99" s="40">
        <v>47850</v>
      </c>
    </row>
    <row r="100" spans="1:15" ht="15.75" customHeight="1">
      <c r="A100" s="29">
        <v>7350</v>
      </c>
      <c r="B100" s="30" t="s">
        <v>149</v>
      </c>
      <c r="C100" s="164">
        <f t="shared" si="7"/>
        <v>300</v>
      </c>
      <c r="D100" s="54"/>
      <c r="E100" s="49">
        <f>'Budsjett grupper'!C92</f>
        <v>300</v>
      </c>
      <c r="F100" s="193">
        <f>'Budsjett hytter'!C91</f>
        <v>0</v>
      </c>
      <c r="G100" s="189"/>
      <c r="H100" s="174">
        <v>73250</v>
      </c>
      <c r="I100" s="55">
        <v>0</v>
      </c>
      <c r="J100" s="38">
        <v>15000</v>
      </c>
      <c r="K100" s="38"/>
      <c r="L100" s="40"/>
      <c r="M100" s="40"/>
      <c r="N100" s="40"/>
      <c r="O100" s="40"/>
    </row>
    <row r="101" spans="1:15" ht="15.75" customHeight="1">
      <c r="A101" s="29">
        <v>7400</v>
      </c>
      <c r="B101" s="30" t="s">
        <v>150</v>
      </c>
      <c r="C101" s="164">
        <f t="shared" si="7"/>
        <v>0</v>
      </c>
      <c r="D101" s="54"/>
      <c r="E101" s="49">
        <f>'Budsjett grupper'!C93</f>
        <v>0</v>
      </c>
      <c r="F101" s="193">
        <f>'Budsjett hytter'!C92</f>
        <v>0</v>
      </c>
      <c r="G101" s="189"/>
      <c r="H101" s="174">
        <v>15000</v>
      </c>
      <c r="I101" s="55">
        <v>710</v>
      </c>
      <c r="J101" s="38">
        <v>0</v>
      </c>
      <c r="K101" s="38">
        <v>1683</v>
      </c>
      <c r="L101" s="40">
        <v>0</v>
      </c>
      <c r="M101" s="40">
        <v>2400</v>
      </c>
      <c r="N101" s="40">
        <v>0</v>
      </c>
      <c r="O101" s="40">
        <v>625073</v>
      </c>
    </row>
    <row r="102" spans="1:15" ht="15.75" customHeight="1">
      <c r="A102" s="29">
        <v>7410</v>
      </c>
      <c r="B102" s="30" t="s">
        <v>103</v>
      </c>
      <c r="C102" s="164">
        <f t="shared" si="7"/>
        <v>0</v>
      </c>
      <c r="D102" s="54"/>
      <c r="E102" s="49">
        <f>'Budsjett grupper'!C94</f>
        <v>0</v>
      </c>
      <c r="F102" s="193">
        <f>'Budsjett hytter'!C93</f>
        <v>0</v>
      </c>
      <c r="G102" s="189"/>
      <c r="H102" s="174"/>
      <c r="I102" s="55">
        <v>2750</v>
      </c>
      <c r="J102" s="38"/>
      <c r="K102" s="38"/>
      <c r="L102" s="40"/>
      <c r="M102" s="40"/>
      <c r="N102" s="40"/>
      <c r="O102" s="40"/>
    </row>
    <row r="103" spans="1:15" ht="15.75" customHeight="1">
      <c r="A103" s="29">
        <v>7420</v>
      </c>
      <c r="B103" s="30" t="s">
        <v>151</v>
      </c>
      <c r="C103" s="164">
        <f t="shared" si="7"/>
        <v>19000</v>
      </c>
      <c r="D103" s="54"/>
      <c r="E103" s="49">
        <f>'Budsjett grupper'!C95</f>
        <v>19000</v>
      </c>
      <c r="F103" s="193">
        <f>'Budsjett hytter'!C94</f>
        <v>0</v>
      </c>
      <c r="G103" s="189">
        <v>240.7</v>
      </c>
      <c r="H103" s="174"/>
      <c r="I103" s="55">
        <v>7861.55</v>
      </c>
      <c r="J103" s="38">
        <v>15000</v>
      </c>
      <c r="K103" s="38">
        <v>9267</v>
      </c>
      <c r="L103" s="40">
        <v>6500</v>
      </c>
      <c r="M103" s="40">
        <f>7778-M101</f>
        <v>5378</v>
      </c>
      <c r="N103" s="40">
        <v>20000</v>
      </c>
      <c r="O103" s="40">
        <f>20089+543</f>
        <v>20632</v>
      </c>
    </row>
    <row r="104" spans="1:15" ht="15.75" customHeight="1">
      <c r="A104" s="29">
        <v>7430</v>
      </c>
      <c r="B104" s="30" t="s">
        <v>152</v>
      </c>
      <c r="C104" s="164">
        <f t="shared" si="7"/>
        <v>1000</v>
      </c>
      <c r="D104" s="54"/>
      <c r="E104" s="49">
        <f>'Budsjett grupper'!C96</f>
        <v>1000</v>
      </c>
      <c r="F104" s="193">
        <f>'Budsjett hytter'!C95</f>
        <v>0</v>
      </c>
      <c r="G104" s="189"/>
      <c r="H104" s="174">
        <v>11825</v>
      </c>
      <c r="I104" s="55">
        <v>446</v>
      </c>
      <c r="J104" s="38"/>
      <c r="K104" s="38"/>
      <c r="L104" s="40"/>
      <c r="M104" s="40"/>
      <c r="N104" s="40"/>
      <c r="O104" s="40"/>
    </row>
    <row r="105" spans="1:15" ht="15.75" customHeight="1">
      <c r="A105" s="29">
        <v>7500</v>
      </c>
      <c r="B105" s="30" t="s">
        <v>153</v>
      </c>
      <c r="C105" s="164">
        <f t="shared" si="7"/>
        <v>113000</v>
      </c>
      <c r="D105" s="54">
        <v>65000</v>
      </c>
      <c r="E105" s="49">
        <f>'Budsjett grupper'!C97</f>
        <v>0</v>
      </c>
      <c r="F105" s="193">
        <f>'Budsjett hytter'!C96</f>
        <v>48000</v>
      </c>
      <c r="G105" s="189">
        <v>66071</v>
      </c>
      <c r="H105" s="174">
        <v>75000</v>
      </c>
      <c r="I105" s="55">
        <v>64184</v>
      </c>
      <c r="J105" s="38">
        <v>65900</v>
      </c>
      <c r="K105" s="38">
        <v>98654</v>
      </c>
      <c r="L105" s="40">
        <v>0</v>
      </c>
      <c r="M105" s="40">
        <v>107906</v>
      </c>
      <c r="N105" s="40">
        <v>80000</v>
      </c>
      <c r="O105" s="40">
        <v>57957</v>
      </c>
    </row>
    <row r="106" spans="1:15" ht="15.75" customHeight="1">
      <c r="A106" s="29">
        <v>7510</v>
      </c>
      <c r="B106" s="30" t="s">
        <v>154</v>
      </c>
      <c r="C106" s="164">
        <f t="shared" si="7"/>
        <v>83030</v>
      </c>
      <c r="D106" s="54"/>
      <c r="E106" s="49">
        <f>'Budsjett grupper'!C98</f>
        <v>83030</v>
      </c>
      <c r="F106" s="193">
        <f>'Budsjett hytter'!C97</f>
        <v>0</v>
      </c>
      <c r="G106" s="189">
        <v>64214</v>
      </c>
      <c r="H106" s="174">
        <v>147280</v>
      </c>
      <c r="I106" s="55">
        <v>78028</v>
      </c>
      <c r="J106" s="38">
        <v>140360</v>
      </c>
      <c r="K106" s="38">
        <v>76630</v>
      </c>
      <c r="L106" s="40">
        <v>75120</v>
      </c>
      <c r="M106" s="40">
        <v>0</v>
      </c>
      <c r="N106" s="40">
        <v>70000</v>
      </c>
      <c r="O106" s="40">
        <v>64200</v>
      </c>
    </row>
    <row r="107" spans="1:15" ht="15.75" customHeight="1">
      <c r="A107" s="29">
        <v>7700</v>
      </c>
      <c r="B107" s="30" t="s">
        <v>155</v>
      </c>
      <c r="C107" s="164">
        <f t="shared" si="7"/>
        <v>60200</v>
      </c>
      <c r="D107" s="54">
        <v>5000</v>
      </c>
      <c r="E107" s="49">
        <f>'Budsjett grupper'!C99</f>
        <v>50200</v>
      </c>
      <c r="F107" s="193">
        <f>'Budsjett hytter'!C98</f>
        <v>5000</v>
      </c>
      <c r="G107" s="189">
        <f>37181.1</f>
        <v>37181.1</v>
      </c>
      <c r="H107" s="174">
        <v>65860</v>
      </c>
      <c r="I107" s="55">
        <v>29255.65</v>
      </c>
      <c r="J107" s="38">
        <v>56010</v>
      </c>
      <c r="K107" s="38">
        <v>39974</v>
      </c>
      <c r="L107" s="40">
        <v>50500</v>
      </c>
      <c r="M107" s="40">
        <v>28040</v>
      </c>
      <c r="N107" s="40">
        <v>25000</v>
      </c>
      <c r="O107" s="40">
        <v>18592</v>
      </c>
    </row>
    <row r="108" spans="1:15" ht="15.75" customHeight="1">
      <c r="A108" s="29">
        <v>7740</v>
      </c>
      <c r="B108" s="30" t="s">
        <v>156</v>
      </c>
      <c r="C108" s="164">
        <f t="shared" si="7"/>
        <v>0</v>
      </c>
      <c r="D108" s="54"/>
      <c r="E108" s="49">
        <f>'Budsjett grupper'!C100</f>
        <v>0</v>
      </c>
      <c r="F108" s="193">
        <f>'Budsjett hytter'!C99</f>
        <v>0</v>
      </c>
      <c r="G108" s="189"/>
      <c r="H108" s="174"/>
      <c r="I108" s="55">
        <v>-0.51</v>
      </c>
      <c r="J108" s="38"/>
      <c r="K108" s="38"/>
      <c r="L108" s="40"/>
      <c r="M108" s="40"/>
      <c r="N108" s="40"/>
      <c r="O108" s="40"/>
    </row>
    <row r="109" spans="1:15" ht="15.75" customHeight="1">
      <c r="A109" s="29">
        <v>7750</v>
      </c>
      <c r="B109" s="30" t="s">
        <v>157</v>
      </c>
      <c r="C109" s="164">
        <f t="shared" si="7"/>
        <v>0</v>
      </c>
      <c r="D109" s="54"/>
      <c r="E109" s="49">
        <f>'Budsjett grupper'!C101</f>
        <v>0</v>
      </c>
      <c r="F109" s="193">
        <f>'Budsjett hytter'!C100</f>
        <v>0</v>
      </c>
      <c r="G109" s="189">
        <v>-0.8</v>
      </c>
      <c r="H109" s="174"/>
      <c r="I109" s="55">
        <v>-43083.75</v>
      </c>
      <c r="J109" s="38"/>
      <c r="K109" s="38"/>
      <c r="L109" s="40"/>
      <c r="M109" s="40"/>
      <c r="N109" s="40"/>
      <c r="O109" s="40"/>
    </row>
    <row r="110" spans="1:15" ht="15.75" customHeight="1">
      <c r="A110" s="29">
        <v>7770</v>
      </c>
      <c r="B110" s="30" t="s">
        <v>158</v>
      </c>
      <c r="C110" s="164">
        <f t="shared" si="7"/>
        <v>12000</v>
      </c>
      <c r="D110" s="54">
        <v>10000</v>
      </c>
      <c r="E110" s="49">
        <f>'Budsjett grupper'!C102</f>
        <v>2000</v>
      </c>
      <c r="F110" s="193">
        <f>'Budsjett hytter'!C101</f>
        <v>0</v>
      </c>
      <c r="G110" s="183">
        <v>19660.66</v>
      </c>
      <c r="H110" s="174">
        <v>20000</v>
      </c>
      <c r="I110" s="55">
        <v>20964.78</v>
      </c>
      <c r="J110" s="38">
        <v>15000</v>
      </c>
      <c r="K110" s="38">
        <v>17249</v>
      </c>
      <c r="L110" s="40">
        <v>0</v>
      </c>
      <c r="M110" s="40">
        <v>14598</v>
      </c>
      <c r="N110" s="40">
        <v>20000</v>
      </c>
      <c r="O110" s="40">
        <v>21158</v>
      </c>
    </row>
    <row r="111" spans="1:15" ht="15.75" customHeight="1">
      <c r="A111" s="29">
        <v>7790</v>
      </c>
      <c r="B111" s="30" t="s">
        <v>159</v>
      </c>
      <c r="C111" s="164">
        <f t="shared" si="7"/>
        <v>16500</v>
      </c>
      <c r="D111" s="54"/>
      <c r="E111" s="49">
        <f>'Budsjett grupper'!C103</f>
        <v>16500</v>
      </c>
      <c r="F111" s="193">
        <f>'Budsjett hytter'!C102</f>
        <v>0</v>
      </c>
      <c r="G111" s="183">
        <v>2899.7</v>
      </c>
      <c r="H111" s="174">
        <v>52250</v>
      </c>
      <c r="I111" s="55">
        <v>39498.839999999997</v>
      </c>
      <c r="J111" s="38">
        <v>66950</v>
      </c>
      <c r="K111" s="38">
        <v>30469</v>
      </c>
      <c r="L111" s="40">
        <v>28750</v>
      </c>
      <c r="M111" s="38"/>
      <c r="N111" s="40">
        <v>50000</v>
      </c>
      <c r="O111" s="40">
        <v>51095</v>
      </c>
    </row>
    <row r="112" spans="1:15" ht="15.75" customHeight="1">
      <c r="A112" s="29">
        <v>7791</v>
      </c>
      <c r="B112" s="30" t="s">
        <v>160</v>
      </c>
      <c r="C112" s="164">
        <f t="shared" si="7"/>
        <v>5800</v>
      </c>
      <c r="D112" s="54"/>
      <c r="E112" s="49">
        <f>'Budsjett grupper'!C104</f>
        <v>5800</v>
      </c>
      <c r="F112" s="193">
        <f>'Budsjett hytter'!C103</f>
        <v>0</v>
      </c>
      <c r="G112" s="183"/>
      <c r="H112" s="174"/>
      <c r="I112" s="55">
        <v>-58.8</v>
      </c>
      <c r="J112" s="38"/>
      <c r="K112" s="38"/>
      <c r="L112" s="40"/>
      <c r="M112" s="38"/>
      <c r="N112" s="40"/>
      <c r="O112" s="40"/>
    </row>
    <row r="113" spans="1:15" ht="15.75" customHeight="1">
      <c r="A113" s="29">
        <v>7830</v>
      </c>
      <c r="B113" s="30" t="s">
        <v>162</v>
      </c>
      <c r="C113" s="164">
        <f t="shared" si="7"/>
        <v>500</v>
      </c>
      <c r="D113" s="54"/>
      <c r="E113" s="49">
        <f>'Budsjett grupper'!C105</f>
        <v>500</v>
      </c>
      <c r="F113" s="193">
        <f>'Budsjett hytter'!C104</f>
        <v>0</v>
      </c>
      <c r="G113" s="183">
        <v>15412.5</v>
      </c>
      <c r="H113" s="174"/>
      <c r="I113" s="55">
        <v>90208</v>
      </c>
      <c r="J113" s="38"/>
      <c r="K113" s="38"/>
      <c r="L113" s="40"/>
      <c r="M113" s="38"/>
      <c r="N113" s="40"/>
      <c r="O113" s="40"/>
    </row>
    <row r="114" spans="1:15" ht="15.75" customHeight="1">
      <c r="A114" s="29">
        <v>7831</v>
      </c>
      <c r="B114" s="30" t="s">
        <v>163</v>
      </c>
      <c r="C114" s="164">
        <f t="shared" si="7"/>
        <v>0</v>
      </c>
      <c r="D114" s="54"/>
      <c r="E114" s="49">
        <f>'Budsjett grupper'!C106</f>
        <v>0</v>
      </c>
      <c r="F114" s="193">
        <f>'Budsjett hytter'!C105</f>
        <v>0</v>
      </c>
      <c r="G114" s="183">
        <v>-22439.5</v>
      </c>
      <c r="H114" s="174"/>
      <c r="I114" s="55">
        <v>-30615.5</v>
      </c>
      <c r="J114" s="59"/>
      <c r="K114" s="59"/>
      <c r="L114" s="61"/>
      <c r="M114" s="59"/>
      <c r="N114" s="61"/>
      <c r="O114" s="61"/>
    </row>
    <row r="115" spans="1:15" ht="15.75" customHeight="1">
      <c r="A115" s="145" t="s">
        <v>164</v>
      </c>
      <c r="B115" s="63"/>
      <c r="C115" s="171">
        <f>D115+E115+F115</f>
        <v>6157970.25</v>
      </c>
      <c r="D115" s="200">
        <f>'Budsjett HS 2019'!D115</f>
        <v>846150</v>
      </c>
      <c r="E115" s="201">
        <f>'Budsjett grupper'!C107</f>
        <v>4836820.25</v>
      </c>
      <c r="F115" s="202">
        <f>'Budsjett hytter'!C106</f>
        <v>475000</v>
      </c>
      <c r="G115" s="198">
        <f t="shared" ref="G115:I115" si="8">SUM(G51:G114)</f>
        <v>5340296.3999999985</v>
      </c>
      <c r="H115" s="199">
        <f t="shared" si="8"/>
        <v>5670344.3500000006</v>
      </c>
      <c r="I115" s="203">
        <f t="shared" si="8"/>
        <v>5500814.8900000015</v>
      </c>
      <c r="J115" s="86">
        <f>SUM(J51:J111)</f>
        <v>5217270</v>
      </c>
      <c r="K115" s="86">
        <f>6022345.52-K41</f>
        <v>5036224.1499999994</v>
      </c>
      <c r="L115" s="88">
        <v>4236565</v>
      </c>
      <c r="M115" s="88">
        <f t="shared" ref="M115:O115" si="9">SUM(M51:M111)</f>
        <v>3174850</v>
      </c>
      <c r="N115" s="88">
        <f t="shared" si="9"/>
        <v>3438500</v>
      </c>
      <c r="O115" s="88">
        <f t="shared" si="9"/>
        <v>2960435.63</v>
      </c>
    </row>
    <row r="116" spans="1:15" ht="15.75" customHeight="1">
      <c r="A116" s="29"/>
      <c r="B116" s="29"/>
      <c r="C116" s="172"/>
      <c r="D116" s="54"/>
      <c r="E116" s="49">
        <f>'Budsjett grupper'!C108</f>
        <v>0</v>
      </c>
      <c r="F116" s="193">
        <f>'Budsjett hytter'!C107</f>
        <v>0</v>
      </c>
      <c r="G116" s="188"/>
      <c r="H116" s="179"/>
      <c r="I116" s="55"/>
      <c r="J116" s="38"/>
      <c r="K116" s="38"/>
      <c r="L116" s="38"/>
      <c r="M116" s="38"/>
      <c r="N116" s="38"/>
      <c r="O116" s="38"/>
    </row>
    <row r="117" spans="1:15" ht="15.75" customHeight="1">
      <c r="A117" s="146" t="s">
        <v>179</v>
      </c>
      <c r="B117" s="122"/>
      <c r="C117" s="171">
        <v>0</v>
      </c>
      <c r="D117" s="122">
        <v>0</v>
      </c>
      <c r="E117" s="122">
        <v>0</v>
      </c>
      <c r="F117" s="197">
        <v>0</v>
      </c>
      <c r="G117" s="192"/>
      <c r="H117" s="180">
        <v>0</v>
      </c>
      <c r="I117" s="122"/>
      <c r="J117" s="147">
        <v>0</v>
      </c>
      <c r="K117" s="113"/>
      <c r="L117" s="72">
        <v>0</v>
      </c>
      <c r="M117" s="72">
        <v>987039</v>
      </c>
      <c r="N117" s="72">
        <v>0</v>
      </c>
      <c r="O117" s="72">
        <v>48516</v>
      </c>
    </row>
    <row r="118" spans="1:15" ht="15.75" customHeight="1">
      <c r="C118" s="172"/>
      <c r="F118" s="186"/>
      <c r="G118" s="188"/>
      <c r="H118" s="179"/>
      <c r="J118" s="33"/>
    </row>
    <row r="119" spans="1:15" ht="15.75" customHeight="1">
      <c r="A119" s="145" t="s">
        <v>165</v>
      </c>
      <c r="B119" s="100"/>
      <c r="C119" s="171">
        <f>D119+E119+F119</f>
        <v>7690871.5999999996</v>
      </c>
      <c r="D119" s="200">
        <f>'Budsjett HS 2019'!C117</f>
        <v>1559356</v>
      </c>
      <c r="E119" s="201">
        <f>'Budsjett grupper'!C109</f>
        <v>5656515.5999999996</v>
      </c>
      <c r="F119" s="202">
        <f>'Budsjett hytter'!C108</f>
        <v>475000</v>
      </c>
      <c r="G119" s="198">
        <f>G115+G41</f>
        <v>6505193.6699999981</v>
      </c>
      <c r="H119" s="199">
        <f>H117+H115+H41</f>
        <v>7001064.9100000001</v>
      </c>
      <c r="I119" s="203">
        <f>I41+I47+I115</f>
        <v>6721455.370000002</v>
      </c>
      <c r="J119" s="204">
        <f>J115+J47+J41</f>
        <v>6417230</v>
      </c>
      <c r="K119" s="86">
        <f>K115+K41+K117</f>
        <v>6022345.5199999996</v>
      </c>
      <c r="L119" s="88">
        <v>5248943.75</v>
      </c>
      <c r="M119" s="88">
        <f>M115+M41+M47+M117</f>
        <v>5261387.5199999996</v>
      </c>
      <c r="N119" s="88">
        <f>N115+N41+N47</f>
        <v>4802996.3599999994</v>
      </c>
      <c r="O119" s="88">
        <f>O115+O41+O47+O117</f>
        <v>4493506.63</v>
      </c>
    </row>
    <row r="120" spans="1:15" ht="15.75" customHeight="1">
      <c r="A120" s="29"/>
      <c r="B120" s="29"/>
      <c r="C120" s="172"/>
      <c r="D120" s="54"/>
      <c r="E120" s="49">
        <f>'Budsjett grupper'!C110</f>
        <v>0</v>
      </c>
      <c r="F120" s="193">
        <f>'Budsjett hytter'!C109</f>
        <v>0</v>
      </c>
      <c r="G120" s="188"/>
      <c r="H120" s="179"/>
      <c r="J120" s="33"/>
    </row>
    <row r="121" spans="1:15" ht="15.75" customHeight="1">
      <c r="A121" s="145" t="s">
        <v>166</v>
      </c>
      <c r="B121" s="100"/>
      <c r="C121" s="205">
        <f>D121+E121+F121</f>
        <v>150026.40000000037</v>
      </c>
      <c r="D121" s="200">
        <f>'Budsjett HS 2019'!C119</f>
        <v>-19356</v>
      </c>
      <c r="E121" s="206">
        <f>'Budsjett grupper'!C111</f>
        <v>-10617.599999999627</v>
      </c>
      <c r="F121" s="202">
        <f>'Budsjett hytter'!C110</f>
        <v>180000</v>
      </c>
      <c r="G121" s="207">
        <f t="shared" ref="G121:K121" si="10">G21-G119</f>
        <v>1144683.040000001</v>
      </c>
      <c r="H121" s="199">
        <f t="shared" si="10"/>
        <v>179120.08999999985</v>
      </c>
      <c r="I121" s="208">
        <f t="shared" si="10"/>
        <v>434753.19999999739</v>
      </c>
      <c r="J121" s="113">
        <f t="shared" si="10"/>
        <v>103025</v>
      </c>
      <c r="K121" s="113">
        <f t="shared" si="10"/>
        <v>253317.52000000048</v>
      </c>
      <c r="L121" s="72">
        <v>101719.25</v>
      </c>
      <c r="M121" s="148">
        <f t="shared" ref="M121:O121" si="11">M21-M119</f>
        <v>-622738.68999999948</v>
      </c>
      <c r="N121" s="148">
        <f t="shared" si="11"/>
        <v>-90996.359999999404</v>
      </c>
      <c r="O121" s="148">
        <f t="shared" si="11"/>
        <v>-300670.62999999989</v>
      </c>
    </row>
    <row r="122" spans="1:15" ht="15.75" customHeight="1">
      <c r="H122" s="181"/>
      <c r="I122" s="55"/>
      <c r="J122" s="38"/>
      <c r="K122" s="38"/>
      <c r="L122" s="38"/>
      <c r="M122" s="33"/>
      <c r="N122" s="38"/>
      <c r="O122" s="38"/>
    </row>
    <row r="123" spans="1:15" ht="15.75" customHeight="1">
      <c r="H123" s="181"/>
    </row>
    <row r="124" spans="1:15" ht="15.75" customHeight="1">
      <c r="H124" s="181"/>
      <c r="I124" s="55"/>
      <c r="J124" s="38"/>
      <c r="K124" s="38"/>
      <c r="L124" s="38"/>
      <c r="M124" s="38"/>
      <c r="N124" s="38"/>
      <c r="O124" s="38"/>
    </row>
    <row r="125" spans="1:15" ht="15.75" customHeight="1">
      <c r="H125" s="181"/>
      <c r="J125" s="33"/>
    </row>
    <row r="126" spans="1:15" ht="15.75" customHeight="1">
      <c r="H126" s="181"/>
    </row>
    <row r="127" spans="1:15" ht="15.75" customHeight="1">
      <c r="H127" s="181"/>
    </row>
    <row r="128" spans="1:15" ht="15.75" customHeight="1">
      <c r="H128" s="181"/>
    </row>
    <row r="129" spans="8:8" ht="15.75" customHeight="1">
      <c r="H129" s="181"/>
    </row>
    <row r="130" spans="8:8" ht="15.75" customHeight="1">
      <c r="H130" s="181"/>
    </row>
    <row r="131" spans="8:8" ht="15.75" customHeight="1">
      <c r="H131" s="181"/>
    </row>
    <row r="132" spans="8:8" ht="15.75" customHeight="1">
      <c r="H132" s="181"/>
    </row>
    <row r="133" spans="8:8" ht="15.75" customHeight="1">
      <c r="H133" s="181"/>
    </row>
    <row r="134" spans="8:8" ht="15.75" customHeight="1">
      <c r="H134" s="181"/>
    </row>
    <row r="135" spans="8:8" ht="15.75" customHeight="1">
      <c r="H135" s="181"/>
    </row>
    <row r="136" spans="8:8" ht="15.75" customHeight="1">
      <c r="H136" s="181"/>
    </row>
    <row r="137" spans="8:8" ht="15.75" customHeight="1">
      <c r="H137" s="181"/>
    </row>
    <row r="138" spans="8:8" ht="15.75" customHeight="1">
      <c r="H138" s="181"/>
    </row>
    <row r="139" spans="8:8" ht="15.75" customHeight="1">
      <c r="H139" s="181"/>
    </row>
    <row r="140" spans="8:8" ht="15.75" customHeight="1">
      <c r="H140" s="181"/>
    </row>
    <row r="141" spans="8:8" ht="15.75" customHeight="1">
      <c r="H141" s="181"/>
    </row>
    <row r="142" spans="8:8" ht="15.75" customHeight="1">
      <c r="H142" s="181"/>
    </row>
    <row r="143" spans="8:8" ht="15.75" customHeight="1">
      <c r="H143" s="181"/>
    </row>
    <row r="144" spans="8:8" ht="15.75" customHeight="1">
      <c r="H144" s="181"/>
    </row>
    <row r="145" spans="8:8" ht="15.75" customHeight="1">
      <c r="H145" s="181"/>
    </row>
    <row r="146" spans="8:8" ht="15.75" customHeight="1">
      <c r="H146" s="181"/>
    </row>
    <row r="147" spans="8:8" ht="15.75" customHeight="1">
      <c r="H147" s="181"/>
    </row>
    <row r="148" spans="8:8" ht="15.75" customHeight="1">
      <c r="H148" s="181"/>
    </row>
    <row r="149" spans="8:8" ht="15.75" customHeight="1">
      <c r="H149" s="181"/>
    </row>
    <row r="150" spans="8:8" ht="15.75" customHeight="1">
      <c r="H150" s="181"/>
    </row>
    <row r="151" spans="8:8" ht="15.75" customHeight="1">
      <c r="H151" s="181"/>
    </row>
    <row r="152" spans="8:8" ht="15.75" customHeight="1">
      <c r="H152" s="181"/>
    </row>
    <row r="153" spans="8:8" ht="15.75" customHeight="1">
      <c r="H153" s="181"/>
    </row>
    <row r="154" spans="8:8" ht="15.75" customHeight="1">
      <c r="H154" s="181"/>
    </row>
    <row r="155" spans="8:8" ht="15.75" customHeight="1">
      <c r="H155" s="181"/>
    </row>
    <row r="156" spans="8:8" ht="15.75" customHeight="1">
      <c r="H156" s="181"/>
    </row>
    <row r="157" spans="8:8" ht="15.75" customHeight="1">
      <c r="H157" s="181"/>
    </row>
    <row r="158" spans="8:8" ht="15.75" customHeight="1">
      <c r="H158" s="181"/>
    </row>
    <row r="159" spans="8:8" ht="15.75" customHeight="1">
      <c r="H159" s="181"/>
    </row>
    <row r="160" spans="8:8" ht="15.75" customHeight="1">
      <c r="H160" s="181"/>
    </row>
    <row r="161" spans="8:8" ht="15.75" customHeight="1">
      <c r="H161" s="181"/>
    </row>
    <row r="162" spans="8:8" ht="15.75" customHeight="1">
      <c r="H162" s="181"/>
    </row>
    <row r="163" spans="8:8" ht="15.75" customHeight="1">
      <c r="H163" s="181"/>
    </row>
    <row r="164" spans="8:8" ht="15.75" customHeight="1">
      <c r="H164" s="181"/>
    </row>
    <row r="165" spans="8:8" ht="15.75" customHeight="1">
      <c r="H165" s="181"/>
    </row>
    <row r="166" spans="8:8" ht="15.75" customHeight="1">
      <c r="H166" s="181"/>
    </row>
    <row r="167" spans="8:8" ht="15.75" customHeight="1">
      <c r="H167" s="181"/>
    </row>
    <row r="168" spans="8:8" ht="15.75" customHeight="1"/>
    <row r="169" spans="8:8" ht="15.75" customHeight="1"/>
    <row r="170" spans="8:8" ht="15.75" customHeight="1"/>
    <row r="171" spans="8:8" ht="15.75" customHeight="1"/>
    <row r="172" spans="8:8" ht="15.75" customHeight="1"/>
    <row r="173" spans="8:8" ht="15.75" customHeight="1"/>
    <row r="174" spans="8:8" ht="15.75" customHeight="1"/>
    <row r="175" spans="8:8" ht="15.75" customHeight="1"/>
    <row r="176" spans="8:8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43:B43"/>
    <mergeCell ref="A47:B47"/>
  </mergeCells>
  <pageMargins left="0.75" right="0.75" top="1" bottom="1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1000"/>
  <sheetViews>
    <sheetView workbookViewId="0">
      <selection activeCell="D47" sqref="D47"/>
    </sheetView>
  </sheetViews>
  <sheetFormatPr baseColWidth="10" defaultColWidth="11.1640625" defaultRowHeight="15" customHeight="1"/>
  <cols>
    <col min="1" max="1" width="10.5" customWidth="1"/>
    <col min="2" max="2" width="37.1640625" customWidth="1"/>
    <col min="3" max="4" width="19.83203125" customWidth="1"/>
    <col min="5" max="5" width="21" customWidth="1"/>
    <col min="6" max="6" width="21.83203125" customWidth="1"/>
    <col min="7" max="8" width="15" customWidth="1"/>
    <col min="9" max="9" width="16.6640625" customWidth="1"/>
    <col min="10" max="10" width="14.83203125" customWidth="1"/>
    <col min="11" max="11" width="15.1640625" customWidth="1"/>
    <col min="12" max="12" width="14.1640625" customWidth="1"/>
    <col min="13" max="13" width="13" customWidth="1"/>
    <col min="14" max="14" width="16.6640625" customWidth="1"/>
    <col min="15" max="15" width="13.5" customWidth="1"/>
    <col min="16" max="16" width="13.6640625" bestFit="1" customWidth="1"/>
    <col min="17" max="17" width="13.6640625" customWidth="1"/>
    <col min="18" max="18" width="13.83203125" customWidth="1"/>
    <col min="19" max="19" width="12.33203125" customWidth="1"/>
    <col min="20" max="20" width="11.5" customWidth="1"/>
    <col min="21" max="21" width="13.5" customWidth="1"/>
    <col min="22" max="23" width="14" customWidth="1"/>
    <col min="24" max="24" width="12.5" customWidth="1"/>
    <col min="25" max="25" width="11.83203125" customWidth="1"/>
    <col min="26" max="27" width="14" customWidth="1"/>
    <col min="28" max="28" width="15.33203125" customWidth="1"/>
    <col min="29" max="29" width="14.6640625" customWidth="1"/>
    <col min="30" max="30" width="14" customWidth="1"/>
    <col min="31" max="31" width="13" customWidth="1"/>
    <col min="32" max="32" width="14" customWidth="1"/>
    <col min="33" max="33" width="12.6640625" bestFit="1" customWidth="1"/>
    <col min="34" max="34" width="13.6640625" bestFit="1" customWidth="1"/>
    <col min="35" max="35" width="15.83203125" customWidth="1"/>
    <col min="36" max="36" width="14.5" customWidth="1"/>
    <col min="37" max="56" width="10.5" customWidth="1"/>
  </cols>
  <sheetData>
    <row r="1" spans="1:40" ht="16">
      <c r="A1" s="149" t="s">
        <v>0</v>
      </c>
      <c r="B1" s="150"/>
      <c r="C1" s="3"/>
      <c r="D1" s="4"/>
      <c r="E1" s="5"/>
      <c r="F1" s="7"/>
      <c r="G1" s="8"/>
      <c r="H1" s="9"/>
      <c r="J1" s="7"/>
      <c r="K1" s="5"/>
      <c r="L1" s="7"/>
      <c r="M1" s="8"/>
      <c r="N1" s="7"/>
      <c r="O1" s="5"/>
      <c r="P1" s="7"/>
      <c r="Q1" s="5"/>
      <c r="R1" s="7"/>
      <c r="S1" s="5"/>
      <c r="T1" s="10"/>
      <c r="U1" s="5"/>
      <c r="V1" s="7"/>
      <c r="W1" s="5"/>
      <c r="X1" s="7"/>
      <c r="Y1" s="5"/>
      <c r="Z1" s="7"/>
      <c r="AA1" s="5"/>
      <c r="AB1" s="7"/>
      <c r="AC1" s="5"/>
      <c r="AD1" s="7"/>
      <c r="AE1" s="5"/>
      <c r="AF1" s="7"/>
      <c r="AG1" s="5"/>
      <c r="AH1" s="7"/>
      <c r="AI1" s="8"/>
      <c r="AJ1" s="7"/>
    </row>
    <row r="2" spans="1:40" ht="17" thickBot="1">
      <c r="A2" s="1" t="s">
        <v>1</v>
      </c>
      <c r="B2" s="1"/>
      <c r="C2" s="12" t="s">
        <v>5</v>
      </c>
      <c r="D2" s="13" t="s">
        <v>7</v>
      </c>
      <c r="E2" s="14" t="s">
        <v>8</v>
      </c>
      <c r="F2" s="15" t="s">
        <v>9</v>
      </c>
      <c r="G2" s="16" t="s">
        <v>10</v>
      </c>
      <c r="H2" s="17" t="s">
        <v>11</v>
      </c>
      <c r="I2" s="19" t="s">
        <v>12</v>
      </c>
      <c r="J2" s="20" t="s">
        <v>14</v>
      </c>
      <c r="K2" s="14" t="s">
        <v>15</v>
      </c>
      <c r="L2" s="20" t="s">
        <v>16</v>
      </c>
      <c r="M2" s="14" t="s">
        <v>17</v>
      </c>
      <c r="N2" s="20" t="s">
        <v>18</v>
      </c>
      <c r="O2" s="22" t="s">
        <v>19</v>
      </c>
      <c r="P2" s="20" t="s">
        <v>22</v>
      </c>
      <c r="Q2" s="14" t="s">
        <v>23</v>
      </c>
      <c r="R2" s="20" t="s">
        <v>24</v>
      </c>
      <c r="S2" s="14" t="s">
        <v>25</v>
      </c>
      <c r="T2" s="24" t="s">
        <v>26</v>
      </c>
      <c r="U2" s="14" t="s">
        <v>28</v>
      </c>
      <c r="V2" s="20" t="s">
        <v>29</v>
      </c>
      <c r="W2" s="14" t="s">
        <v>30</v>
      </c>
      <c r="X2" s="20" t="s">
        <v>31</v>
      </c>
      <c r="Y2" s="14" t="s">
        <v>32</v>
      </c>
      <c r="Z2" s="20" t="s">
        <v>33</v>
      </c>
      <c r="AA2" s="14" t="s">
        <v>34</v>
      </c>
      <c r="AB2" s="20" t="s">
        <v>35</v>
      </c>
      <c r="AC2" s="28" t="s">
        <v>36</v>
      </c>
      <c r="AD2" s="20" t="s">
        <v>43</v>
      </c>
      <c r="AE2" s="14" t="s">
        <v>44</v>
      </c>
      <c r="AF2" s="20" t="s">
        <v>45</v>
      </c>
      <c r="AG2" s="14" t="s">
        <v>46</v>
      </c>
      <c r="AH2" s="20" t="s">
        <v>47</v>
      </c>
      <c r="AI2" s="14" t="s">
        <v>48</v>
      </c>
      <c r="AJ2" s="20" t="s">
        <v>50</v>
      </c>
    </row>
    <row r="3" spans="1:40" ht="16">
      <c r="A3" s="29">
        <v>3110</v>
      </c>
      <c r="B3" s="30" t="s">
        <v>49</v>
      </c>
      <c r="C3" s="32">
        <f>SUM(D3:AJ3)</f>
        <v>146950</v>
      </c>
      <c r="D3" s="33"/>
      <c r="E3" s="35">
        <v>3000</v>
      </c>
      <c r="F3" s="35">
        <v>33500</v>
      </c>
      <c r="G3" s="35"/>
      <c r="H3" s="35">
        <v>1000</v>
      </c>
      <c r="I3" s="35">
        <v>1500</v>
      </c>
      <c r="J3" s="35"/>
      <c r="K3" s="35">
        <v>12000</v>
      </c>
      <c r="L3" s="35"/>
      <c r="M3" s="35">
        <v>10000</v>
      </c>
      <c r="N3" s="35"/>
      <c r="O3" s="37">
        <v>20000</v>
      </c>
      <c r="P3" s="39"/>
      <c r="Q3" s="35"/>
      <c r="R3" s="35">
        <v>2000</v>
      </c>
      <c r="S3" s="29"/>
      <c r="T3" s="29"/>
      <c r="U3" s="29"/>
      <c r="V3" s="35">
        <v>30000</v>
      </c>
      <c r="W3" s="35"/>
      <c r="X3" s="41"/>
      <c r="Y3" s="35"/>
      <c r="Z3" s="35"/>
      <c r="AA3" s="35">
        <f>800+11000+9350-8000</f>
        <v>13150</v>
      </c>
      <c r="AB3" s="29"/>
      <c r="AC3" s="29"/>
      <c r="AD3" s="35">
        <v>3000</v>
      </c>
      <c r="AE3" s="35">
        <v>300</v>
      </c>
      <c r="AF3" s="35">
        <v>2000</v>
      </c>
      <c r="AG3" s="29">
        <v>500</v>
      </c>
      <c r="AH3" s="39"/>
      <c r="AI3" s="35">
        <f>10000+5000</f>
        <v>15000</v>
      </c>
      <c r="AJ3" s="39"/>
      <c r="AK3" s="29"/>
      <c r="AL3" s="29"/>
      <c r="AM3" s="29"/>
      <c r="AN3" s="29"/>
    </row>
    <row r="4" spans="1:40" ht="16">
      <c r="A4" s="29">
        <v>3120</v>
      </c>
      <c r="B4" s="30" t="s">
        <v>53</v>
      </c>
      <c r="C4" s="32">
        <f>SUM(D4:AJ4)</f>
        <v>65000</v>
      </c>
      <c r="D4" s="33"/>
      <c r="E4" s="35"/>
      <c r="F4" s="35"/>
      <c r="G4" s="35"/>
      <c r="H4" s="35"/>
      <c r="I4" s="35"/>
      <c r="J4" s="35"/>
      <c r="K4" s="35"/>
      <c r="L4" s="35"/>
      <c r="M4" s="35"/>
      <c r="N4" s="35"/>
      <c r="O4" s="37">
        <v>25000</v>
      </c>
      <c r="P4" s="39">
        <v>20000</v>
      </c>
      <c r="Q4" s="35"/>
      <c r="R4" s="35"/>
      <c r="S4" s="29"/>
      <c r="T4" s="29"/>
      <c r="U4" s="29"/>
      <c r="V4" s="35"/>
      <c r="W4" s="35"/>
      <c r="X4" s="41"/>
      <c r="Y4" s="35"/>
      <c r="Z4" s="35"/>
      <c r="AA4" s="35"/>
      <c r="AB4" s="29"/>
      <c r="AC4" s="29"/>
      <c r="AD4" s="35"/>
      <c r="AE4" s="35"/>
      <c r="AF4" s="35">
        <v>20000</v>
      </c>
      <c r="AG4" s="29"/>
      <c r="AH4" s="39"/>
      <c r="AI4" s="35"/>
      <c r="AJ4" s="39"/>
      <c r="AK4" s="29"/>
      <c r="AL4" s="29"/>
      <c r="AM4" s="29"/>
      <c r="AN4" s="29"/>
    </row>
    <row r="5" spans="1:40" ht="16">
      <c r="A5" s="29">
        <v>3400</v>
      </c>
      <c r="B5" s="30" t="s">
        <v>55</v>
      </c>
      <c r="C5" s="32">
        <f>SUM(D5:AJ5)</f>
        <v>86000</v>
      </c>
      <c r="D5" s="33"/>
      <c r="E5" s="35"/>
      <c r="F5" s="35"/>
      <c r="G5" s="35"/>
      <c r="H5" s="35"/>
      <c r="I5" s="35"/>
      <c r="J5" s="35">
        <v>81000</v>
      </c>
      <c r="K5" s="35"/>
      <c r="L5" s="35"/>
      <c r="M5" s="35"/>
      <c r="N5" s="35"/>
      <c r="O5" s="37">
        <v>5000</v>
      </c>
      <c r="P5" s="39"/>
      <c r="Q5" s="35"/>
      <c r="R5" s="35"/>
      <c r="S5" s="29"/>
      <c r="T5" s="29"/>
      <c r="U5" s="29"/>
      <c r="V5" s="35"/>
      <c r="W5" s="35"/>
      <c r="X5" s="41"/>
      <c r="Y5" s="35"/>
      <c r="Z5" s="35"/>
      <c r="AA5" s="35"/>
      <c r="AB5" s="29"/>
      <c r="AC5" s="29"/>
      <c r="AD5" s="35"/>
      <c r="AE5" s="35"/>
      <c r="AF5" s="35"/>
      <c r="AG5" s="29"/>
      <c r="AH5" s="39"/>
      <c r="AI5" s="35"/>
      <c r="AJ5" s="39"/>
      <c r="AK5" s="29"/>
      <c r="AL5" s="29"/>
      <c r="AM5" s="29"/>
      <c r="AN5" s="29"/>
    </row>
    <row r="6" spans="1:40" ht="16">
      <c r="A6" s="29">
        <v>3440</v>
      </c>
      <c r="B6" s="30" t="s">
        <v>56</v>
      </c>
      <c r="C6" s="32">
        <f>SUM(D6:AJ6)</f>
        <v>115000</v>
      </c>
      <c r="D6" s="33"/>
      <c r="E6" s="35"/>
      <c r="F6" s="35"/>
      <c r="G6" s="35"/>
      <c r="H6" s="35"/>
      <c r="I6" s="35"/>
      <c r="J6" s="35">
        <v>15000</v>
      </c>
      <c r="K6" s="35">
        <v>8000</v>
      </c>
      <c r="L6" s="35"/>
      <c r="M6" s="35">
        <v>5000</v>
      </c>
      <c r="N6" s="35"/>
      <c r="O6" s="47"/>
      <c r="P6" s="39">
        <v>24000</v>
      </c>
      <c r="Q6" s="35"/>
      <c r="R6" s="35"/>
      <c r="S6" s="29"/>
      <c r="T6" s="29"/>
      <c r="U6" s="29"/>
      <c r="V6" s="35">
        <v>8000</v>
      </c>
      <c r="W6" s="35"/>
      <c r="X6" s="41"/>
      <c r="Y6" s="35"/>
      <c r="Z6" s="35">
        <f>8000*3</f>
        <v>24000</v>
      </c>
      <c r="AA6" s="35"/>
      <c r="AB6" s="29"/>
      <c r="AC6" s="29"/>
      <c r="AD6" s="35">
        <v>15000</v>
      </c>
      <c r="AE6" s="35"/>
      <c r="AF6" s="35"/>
      <c r="AG6" s="29"/>
      <c r="AH6" s="39">
        <v>12000</v>
      </c>
      <c r="AI6" s="35"/>
      <c r="AJ6" s="39">
        <v>4000</v>
      </c>
      <c r="AK6" s="29"/>
      <c r="AL6" s="29"/>
      <c r="AM6" s="29"/>
      <c r="AN6" s="29"/>
    </row>
    <row r="7" spans="1:40" ht="16">
      <c r="A7" s="29">
        <v>3450</v>
      </c>
      <c r="B7" s="30" t="s">
        <v>58</v>
      </c>
      <c r="C7" s="32">
        <f>SUM(D7:AJ7)</f>
        <v>300000</v>
      </c>
      <c r="D7" s="50">
        <v>300000</v>
      </c>
      <c r="E7" s="35"/>
      <c r="F7" s="35"/>
      <c r="G7" s="35"/>
      <c r="H7" s="35"/>
      <c r="I7" s="35"/>
      <c r="J7" s="35"/>
      <c r="K7" s="35"/>
      <c r="L7" s="35"/>
      <c r="M7" s="35"/>
      <c r="N7" s="35"/>
      <c r="O7" s="47"/>
      <c r="P7" s="39"/>
      <c r="Q7" s="35"/>
      <c r="R7" s="35"/>
      <c r="S7" s="29"/>
      <c r="T7" s="29"/>
      <c r="U7" s="29"/>
      <c r="V7" s="35"/>
      <c r="W7" s="35"/>
      <c r="X7" s="41"/>
      <c r="Y7" s="35"/>
      <c r="Z7" s="35"/>
      <c r="AA7" s="35"/>
      <c r="AB7" s="29"/>
      <c r="AC7" s="29"/>
      <c r="AD7" s="35"/>
      <c r="AE7" s="35"/>
      <c r="AF7" s="35"/>
      <c r="AG7" s="29"/>
      <c r="AH7" s="39"/>
      <c r="AI7" s="35"/>
      <c r="AJ7" s="39"/>
      <c r="AK7" s="29"/>
      <c r="AL7" s="29"/>
      <c r="AM7" s="29"/>
      <c r="AN7" s="29"/>
    </row>
    <row r="8" spans="1:40" ht="16">
      <c r="A8" s="29">
        <v>3480</v>
      </c>
      <c r="B8" s="30" t="s">
        <v>60</v>
      </c>
      <c r="C8" s="32">
        <f>SUM(D8:AJ8)</f>
        <v>797000</v>
      </c>
      <c r="E8" s="35">
        <v>4000</v>
      </c>
      <c r="F8" s="35">
        <v>40000</v>
      </c>
      <c r="G8" s="35">
        <v>45000</v>
      </c>
      <c r="H8" s="35">
        <v>18000</v>
      </c>
      <c r="I8" s="35">
        <v>17000</v>
      </c>
      <c r="J8" s="35">
        <v>15000</v>
      </c>
      <c r="K8" s="35">
        <v>30000</v>
      </c>
      <c r="L8" s="35">
        <v>5000</v>
      </c>
      <c r="M8" s="35">
        <v>20000</v>
      </c>
      <c r="N8" s="35">
        <v>60000</v>
      </c>
      <c r="O8" s="37">
        <v>60000</v>
      </c>
      <c r="P8" s="39">
        <v>60000</v>
      </c>
      <c r="Q8" s="35">
        <v>44000</v>
      </c>
      <c r="R8" s="35"/>
      <c r="S8" s="29">
        <v>8000</v>
      </c>
      <c r="T8" s="29">
        <v>4000</v>
      </c>
      <c r="U8" s="29"/>
      <c r="V8" s="35">
        <v>15000</v>
      </c>
      <c r="W8" s="35">
        <v>50000</v>
      </c>
      <c r="X8" s="35">
        <v>7500</v>
      </c>
      <c r="Y8" s="35">
        <v>4000</v>
      </c>
      <c r="Z8" s="35">
        <v>25000</v>
      </c>
      <c r="AA8" s="35">
        <v>9000</v>
      </c>
      <c r="AB8" s="53">
        <v>25000</v>
      </c>
      <c r="AC8" s="29">
        <v>10000</v>
      </c>
      <c r="AD8" s="35">
        <v>30000</v>
      </c>
      <c r="AE8" s="35">
        <v>16000</v>
      </c>
      <c r="AF8" s="35">
        <v>40000</v>
      </c>
      <c r="AG8" s="29">
        <v>5000</v>
      </c>
      <c r="AH8" s="39">
        <v>60000</v>
      </c>
      <c r="AI8" s="35">
        <v>3500</v>
      </c>
      <c r="AJ8" s="39">
        <v>67000</v>
      </c>
      <c r="AK8" s="29"/>
      <c r="AL8" s="29"/>
      <c r="AM8" s="29"/>
      <c r="AN8" s="29"/>
    </row>
    <row r="9" spans="1:40" ht="16">
      <c r="A9" s="29">
        <v>3490</v>
      </c>
      <c r="B9" s="30" t="s">
        <v>61</v>
      </c>
      <c r="C9" s="32">
        <f>SUM(D9:AJ9)</f>
        <v>270000</v>
      </c>
      <c r="D9" s="50">
        <v>100000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7">
        <v>30000</v>
      </c>
      <c r="P9" s="39"/>
      <c r="Q9" s="35"/>
      <c r="R9" s="35"/>
      <c r="S9" s="29"/>
      <c r="T9" s="29"/>
      <c r="U9" s="29">
        <v>110000</v>
      </c>
      <c r="V9" s="35"/>
      <c r="W9" s="35">
        <v>20000</v>
      </c>
      <c r="X9" s="35"/>
      <c r="Y9" s="35"/>
      <c r="Z9" s="35"/>
      <c r="AA9" s="35"/>
      <c r="AB9" s="53">
        <v>10000</v>
      </c>
      <c r="AC9" s="29"/>
      <c r="AD9" s="35"/>
      <c r="AE9" s="35"/>
      <c r="AF9" s="35"/>
      <c r="AG9" s="29"/>
      <c r="AH9" s="39">
        <v>0</v>
      </c>
      <c r="AI9" s="35"/>
      <c r="AJ9" s="39"/>
      <c r="AK9" s="29"/>
      <c r="AL9" s="29"/>
      <c r="AM9" s="29"/>
      <c r="AN9" s="29"/>
    </row>
    <row r="10" spans="1:40" ht="16">
      <c r="A10" s="29">
        <v>3610</v>
      </c>
      <c r="B10" s="30" t="s">
        <v>62</v>
      </c>
      <c r="C10" s="32">
        <f>SUM(D10:AJ10)</f>
        <v>0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47"/>
      <c r="P10" s="39"/>
      <c r="Q10" s="35"/>
      <c r="R10" s="35"/>
      <c r="S10" s="29"/>
      <c r="T10" s="29"/>
      <c r="U10" s="29"/>
      <c r="V10" s="35"/>
      <c r="W10" s="35"/>
      <c r="X10" s="35"/>
      <c r="Y10" s="35"/>
      <c r="Z10" s="35"/>
      <c r="AA10" s="35"/>
      <c r="AB10" s="29"/>
      <c r="AC10" s="29"/>
      <c r="AD10" s="35"/>
      <c r="AE10" s="35"/>
      <c r="AF10" s="35"/>
      <c r="AG10" s="29"/>
      <c r="AH10" s="39"/>
      <c r="AI10" s="35"/>
      <c r="AJ10" s="39"/>
      <c r="AK10" s="29"/>
      <c r="AL10" s="29"/>
      <c r="AM10" s="29"/>
      <c r="AN10" s="29"/>
    </row>
    <row r="11" spans="1:40" ht="16">
      <c r="A11" s="29">
        <v>3630</v>
      </c>
      <c r="B11" s="30" t="s">
        <v>63</v>
      </c>
      <c r="C11" s="32">
        <f>SUM(D11:AJ11)</f>
        <v>33000</v>
      </c>
      <c r="D11" s="33"/>
      <c r="E11" s="35"/>
      <c r="F11" s="35"/>
      <c r="G11" s="35"/>
      <c r="H11" s="35"/>
      <c r="I11" s="35"/>
      <c r="J11" s="35"/>
      <c r="K11" s="35">
        <v>10000</v>
      </c>
      <c r="L11" s="35">
        <v>13000</v>
      </c>
      <c r="M11" s="35">
        <v>10000</v>
      </c>
      <c r="N11" s="35"/>
      <c r="O11" s="47"/>
      <c r="P11" s="39"/>
      <c r="Q11" s="35"/>
      <c r="R11" s="35"/>
      <c r="S11" s="29"/>
      <c r="T11" s="29"/>
      <c r="U11" s="29"/>
      <c r="V11" s="35"/>
      <c r="W11" s="35"/>
      <c r="X11" s="35"/>
      <c r="Y11" s="35"/>
      <c r="Z11" s="35"/>
      <c r="AA11" s="35"/>
      <c r="AB11" s="29"/>
      <c r="AC11" s="29"/>
      <c r="AD11" s="35"/>
      <c r="AE11" s="35"/>
      <c r="AF11" s="35"/>
      <c r="AG11" s="29"/>
      <c r="AH11" s="39"/>
      <c r="AI11" s="35"/>
      <c r="AJ11" s="39"/>
      <c r="AK11" s="29"/>
      <c r="AL11" s="29"/>
      <c r="AM11" s="29"/>
      <c r="AN11" s="29"/>
    </row>
    <row r="12" spans="1:40" ht="16">
      <c r="A12" s="29">
        <v>3900</v>
      </c>
      <c r="B12" s="30" t="s">
        <v>64</v>
      </c>
      <c r="C12" s="32">
        <f>SUM(D12:AJ12)</f>
        <v>15000</v>
      </c>
      <c r="D12" s="33"/>
      <c r="E12" s="35">
        <v>1000</v>
      </c>
      <c r="F12" s="35"/>
      <c r="G12" s="35"/>
      <c r="H12" s="35"/>
      <c r="I12" s="35"/>
      <c r="J12" s="35"/>
      <c r="K12" s="35"/>
      <c r="L12" s="35"/>
      <c r="M12" s="35"/>
      <c r="N12" s="35"/>
      <c r="O12" s="47"/>
      <c r="P12" s="39"/>
      <c r="Q12" s="35"/>
      <c r="R12" s="35"/>
      <c r="S12" s="29"/>
      <c r="T12" s="29"/>
      <c r="U12" s="29"/>
      <c r="V12" s="35"/>
      <c r="W12" s="35"/>
      <c r="X12" s="35"/>
      <c r="Y12" s="35"/>
      <c r="Z12" s="35"/>
      <c r="AA12" s="35"/>
      <c r="AB12" s="29"/>
      <c r="AC12" s="29"/>
      <c r="AD12" s="35"/>
      <c r="AE12" s="35"/>
      <c r="AF12" s="35">
        <v>14000</v>
      </c>
      <c r="AG12" s="29"/>
      <c r="AH12" s="56"/>
      <c r="AI12" s="35"/>
      <c r="AJ12" s="39"/>
      <c r="AK12" s="29"/>
      <c r="AL12" s="29"/>
      <c r="AM12" s="29"/>
      <c r="AN12" s="29"/>
    </row>
    <row r="13" spans="1:40" ht="16">
      <c r="A13" s="29">
        <v>3910</v>
      </c>
      <c r="B13" s="30" t="s">
        <v>65</v>
      </c>
      <c r="C13" s="32">
        <f>SUM(D13:AJ13)</f>
        <v>50640</v>
      </c>
      <c r="D13" s="33"/>
      <c r="E13" s="35"/>
      <c r="F13" s="35"/>
      <c r="G13" s="35"/>
      <c r="H13" s="29"/>
      <c r="I13" s="35"/>
      <c r="J13" s="35"/>
      <c r="K13" s="35"/>
      <c r="L13" s="35"/>
      <c r="M13" s="35"/>
      <c r="N13" s="35"/>
      <c r="O13" s="47"/>
      <c r="P13" s="39"/>
      <c r="Q13" s="35"/>
      <c r="R13" s="35"/>
      <c r="S13" s="29"/>
      <c r="T13" s="29"/>
      <c r="U13" s="29"/>
      <c r="V13" s="35"/>
      <c r="W13" s="35"/>
      <c r="X13" s="35"/>
      <c r="Y13" s="35"/>
      <c r="Z13" s="35"/>
      <c r="AA13" s="35"/>
      <c r="AB13" s="29"/>
      <c r="AC13" s="29"/>
      <c r="AD13" s="35"/>
      <c r="AE13" s="35"/>
      <c r="AF13" s="35"/>
      <c r="AG13" s="29"/>
      <c r="AH13" s="39"/>
      <c r="AI13" s="35"/>
      <c r="AJ13" s="39">
        <v>50640</v>
      </c>
      <c r="AK13" s="29"/>
      <c r="AL13" s="29"/>
      <c r="AM13" s="29"/>
      <c r="AN13" s="29"/>
    </row>
    <row r="14" spans="1:40" ht="16">
      <c r="A14" s="29">
        <v>3920</v>
      </c>
      <c r="B14" s="30" t="s">
        <v>66</v>
      </c>
      <c r="C14" s="32">
        <f>SUM(D14:AJ14)</f>
        <v>1485690</v>
      </c>
      <c r="D14" s="33"/>
      <c r="E14" s="35">
        <v>16000</v>
      </c>
      <c r="F14" s="35">
        <v>40000</v>
      </c>
      <c r="G14" s="35">
        <v>90000</v>
      </c>
      <c r="H14" s="35">
        <v>18000</v>
      </c>
      <c r="I14" s="35">
        <v>15060</v>
      </c>
      <c r="J14" s="35">
        <v>325000</v>
      </c>
      <c r="K14" s="35">
        <v>32000</v>
      </c>
      <c r="L14" s="35">
        <v>13000</v>
      </c>
      <c r="M14" s="35">
        <v>14000</v>
      </c>
      <c r="N14" s="35">
        <v>340000</v>
      </c>
      <c r="O14" s="37">
        <v>40000</v>
      </c>
      <c r="P14" s="39">
        <v>55000</v>
      </c>
      <c r="Q14" s="35">
        <f>55*800</f>
        <v>44000</v>
      </c>
      <c r="R14" s="35">
        <v>2400</v>
      </c>
      <c r="S14" s="29">
        <v>6500</v>
      </c>
      <c r="T14" s="29">
        <v>5000</v>
      </c>
      <c r="U14" s="29"/>
      <c r="V14" s="35">
        <v>17000</v>
      </c>
      <c r="W14" s="35">
        <v>100000</v>
      </c>
      <c r="X14" s="35">
        <v>600</v>
      </c>
      <c r="Y14" s="35">
        <f>275*12</f>
        <v>3300</v>
      </c>
      <c r="Z14" s="35">
        <v>17000</v>
      </c>
      <c r="AA14" s="35">
        <v>4000</v>
      </c>
      <c r="AB14" s="53">
        <v>6000</v>
      </c>
      <c r="AC14" s="29">
        <v>5500</v>
      </c>
      <c r="AD14" s="60">
        <v>16500</v>
      </c>
      <c r="AE14" s="35">
        <v>16080</v>
      </c>
      <c r="AF14" s="35">
        <v>3000</v>
      </c>
      <c r="AG14" s="29">
        <v>12000</v>
      </c>
      <c r="AH14" s="39">
        <v>96000</v>
      </c>
      <c r="AI14" s="35">
        <v>9000</v>
      </c>
      <c r="AJ14" s="39">
        <v>123750</v>
      </c>
      <c r="AK14" s="29"/>
      <c r="AL14" s="29"/>
      <c r="AM14" s="29"/>
      <c r="AN14" s="29"/>
    </row>
    <row r="15" spans="1:40" ht="16">
      <c r="A15" s="29">
        <v>3940</v>
      </c>
      <c r="B15" s="30" t="s">
        <v>67</v>
      </c>
      <c r="C15" s="32">
        <f>SUM(D15:AJ15)</f>
        <v>120000</v>
      </c>
      <c r="D15" s="33"/>
      <c r="E15" s="35"/>
      <c r="F15" s="35"/>
      <c r="G15" s="35"/>
      <c r="H15" s="35"/>
      <c r="I15" s="35"/>
      <c r="J15" s="35"/>
      <c r="K15" s="35"/>
      <c r="L15" s="35">
        <v>15000</v>
      </c>
      <c r="M15" s="35"/>
      <c r="N15" s="35"/>
      <c r="O15" s="62"/>
      <c r="P15" s="39"/>
      <c r="Q15" s="35"/>
      <c r="R15" s="35"/>
      <c r="S15" s="29"/>
      <c r="T15" s="29"/>
      <c r="U15" s="29"/>
      <c r="V15" s="35"/>
      <c r="W15" s="35">
        <v>60000</v>
      </c>
      <c r="X15" s="35"/>
      <c r="Y15" s="35"/>
      <c r="Z15" s="35">
        <v>45000</v>
      </c>
      <c r="AA15" s="35"/>
      <c r="AB15" s="29"/>
      <c r="AC15" s="29"/>
      <c r="AD15" s="35"/>
      <c r="AE15" s="35"/>
      <c r="AF15" s="35"/>
      <c r="AG15" s="29"/>
      <c r="AH15" s="39"/>
      <c r="AI15" s="35"/>
      <c r="AJ15" s="39"/>
      <c r="AK15" s="29"/>
      <c r="AL15" s="29"/>
      <c r="AM15" s="29"/>
      <c r="AN15" s="29"/>
    </row>
    <row r="16" spans="1:40" ht="16">
      <c r="A16" s="29">
        <v>3950</v>
      </c>
      <c r="B16" s="30" t="s">
        <v>68</v>
      </c>
      <c r="C16" s="32">
        <f>SUM(D16:AJ16)</f>
        <v>552500</v>
      </c>
      <c r="D16" s="50"/>
      <c r="E16" s="35"/>
      <c r="F16" s="35"/>
      <c r="G16" s="35"/>
      <c r="H16" s="35"/>
      <c r="I16" s="35"/>
      <c r="J16" s="35">
        <v>84000</v>
      </c>
      <c r="K16" s="35">
        <v>50000</v>
      </c>
      <c r="L16" s="35"/>
      <c r="M16" s="35">
        <v>1000</v>
      </c>
      <c r="N16" s="35"/>
      <c r="O16" s="65">
        <v>240000</v>
      </c>
      <c r="P16" s="39"/>
      <c r="Q16" s="35"/>
      <c r="R16" s="35"/>
      <c r="S16" s="29">
        <v>2500</v>
      </c>
      <c r="T16" s="29"/>
      <c r="U16" s="29"/>
      <c r="V16" s="35"/>
      <c r="W16" s="35">
        <v>30000</v>
      </c>
      <c r="X16" s="35">
        <v>1000</v>
      </c>
      <c r="Y16" s="35"/>
      <c r="Z16" s="35">
        <v>25000</v>
      </c>
      <c r="AA16" s="35">
        <v>20000</v>
      </c>
      <c r="AB16" s="53">
        <v>20000</v>
      </c>
      <c r="AC16" s="29">
        <v>59000</v>
      </c>
      <c r="AD16" s="35"/>
      <c r="AE16" s="35"/>
      <c r="AF16" s="35">
        <v>20000</v>
      </c>
      <c r="AG16" s="29"/>
      <c r="AH16" s="39"/>
      <c r="AI16" s="35"/>
      <c r="AJ16" s="39"/>
      <c r="AK16" s="29"/>
      <c r="AL16" s="29"/>
      <c r="AM16" s="29"/>
      <c r="AN16" s="29"/>
    </row>
    <row r="17" spans="1:40" ht="16">
      <c r="A17" s="29">
        <v>3960</v>
      </c>
      <c r="B17" s="30" t="s">
        <v>69</v>
      </c>
      <c r="C17" s="32">
        <f>SUM(D17:AJ17)</f>
        <v>587230</v>
      </c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7">
        <v>60000</v>
      </c>
      <c r="P17" s="39">
        <v>345000</v>
      </c>
      <c r="Q17" s="35">
        <v>1200</v>
      </c>
      <c r="R17" s="35"/>
      <c r="S17" s="29"/>
      <c r="T17" s="29"/>
      <c r="U17" s="29"/>
      <c r="V17" s="35">
        <v>40000</v>
      </c>
      <c r="W17" s="35"/>
      <c r="X17" s="35"/>
      <c r="Y17" s="35"/>
      <c r="Z17" s="35"/>
      <c r="AA17" s="35">
        <v>65000</v>
      </c>
      <c r="AB17" s="29"/>
      <c r="AC17" s="29"/>
      <c r="AD17" s="35">
        <v>5000</v>
      </c>
      <c r="AE17" s="35"/>
      <c r="AF17" s="35"/>
      <c r="AG17" s="29">
        <v>1530</v>
      </c>
      <c r="AH17" s="39"/>
      <c r="AI17" s="35"/>
      <c r="AJ17" s="39">
        <v>69500</v>
      </c>
      <c r="AK17" s="29"/>
      <c r="AL17" s="29"/>
      <c r="AM17" s="29"/>
      <c r="AN17" s="29"/>
    </row>
    <row r="18" spans="1:40" ht="16">
      <c r="A18" s="29">
        <v>3970</v>
      </c>
      <c r="B18" s="30" t="s">
        <v>70</v>
      </c>
      <c r="C18" s="32">
        <f>SUM(D18:AJ18)</f>
        <v>822050</v>
      </c>
      <c r="D18" s="33"/>
      <c r="E18" s="35"/>
      <c r="F18" s="35"/>
      <c r="G18" s="35">
        <v>45000</v>
      </c>
      <c r="H18" s="35"/>
      <c r="I18" s="35">
        <v>4500</v>
      </c>
      <c r="J18" s="35"/>
      <c r="K18" s="35">
        <v>20000</v>
      </c>
      <c r="L18" s="35"/>
      <c r="M18" s="35"/>
      <c r="N18" s="35"/>
      <c r="O18" s="65">
        <v>21000</v>
      </c>
      <c r="P18" s="39">
        <v>320000</v>
      </c>
      <c r="Q18" s="35">
        <f>30*1600</f>
        <v>48000</v>
      </c>
      <c r="R18" s="35"/>
      <c r="S18" s="29"/>
      <c r="T18" s="29"/>
      <c r="U18" s="29"/>
      <c r="V18" s="35">
        <v>3000</v>
      </c>
      <c r="W18" s="35"/>
      <c r="X18" s="35"/>
      <c r="Y18" s="35">
        <v>1000</v>
      </c>
      <c r="Z18" s="35"/>
      <c r="AA18" s="35"/>
      <c r="AB18" s="53">
        <v>25000</v>
      </c>
      <c r="AC18" s="29"/>
      <c r="AD18" s="35"/>
      <c r="AE18" s="35"/>
      <c r="AF18" s="35">
        <v>5000</v>
      </c>
      <c r="AH18" s="39">
        <v>2000</v>
      </c>
      <c r="AI18" s="35"/>
      <c r="AJ18" s="39">
        <v>327550</v>
      </c>
      <c r="AK18" s="29"/>
      <c r="AL18" s="29"/>
      <c r="AM18" s="29"/>
      <c r="AN18" s="29"/>
    </row>
    <row r="19" spans="1:40" ht="16">
      <c r="A19" s="29">
        <v>3990</v>
      </c>
      <c r="B19" s="30" t="s">
        <v>71</v>
      </c>
      <c r="C19" s="32">
        <f>SUM(D19:AJ19)</f>
        <v>199838</v>
      </c>
      <c r="D19" s="50"/>
      <c r="E19" s="35"/>
      <c r="F19" s="35"/>
      <c r="G19" s="35"/>
      <c r="H19" s="35"/>
      <c r="I19" s="35"/>
      <c r="J19" s="35"/>
      <c r="K19" s="35">
        <v>30000</v>
      </c>
      <c r="L19" s="35"/>
      <c r="M19" s="35"/>
      <c r="N19" s="35">
        <v>44808</v>
      </c>
      <c r="O19" s="65">
        <v>53480</v>
      </c>
      <c r="P19" s="39"/>
      <c r="Q19" s="35"/>
      <c r="R19" s="35">
        <v>1000</v>
      </c>
      <c r="S19" s="29"/>
      <c r="T19" s="29"/>
      <c r="U19" s="29">
        <v>30000</v>
      </c>
      <c r="V19" s="35"/>
      <c r="W19" s="35"/>
      <c r="X19" s="69"/>
      <c r="Y19" s="35"/>
      <c r="Z19" s="35"/>
      <c r="AA19" s="35"/>
      <c r="AC19" s="29"/>
      <c r="AD19" s="35"/>
      <c r="AE19" s="35"/>
      <c r="AF19" s="69"/>
      <c r="AG19" s="29"/>
      <c r="AH19" s="71"/>
      <c r="AI19" s="35"/>
      <c r="AJ19" s="71">
        <v>40550</v>
      </c>
      <c r="AK19" s="29"/>
      <c r="AL19" s="29"/>
      <c r="AM19" s="29"/>
      <c r="AN19" s="29"/>
    </row>
    <row r="20" spans="1:40" ht="16">
      <c r="A20" s="29">
        <v>3991</v>
      </c>
      <c r="B20" s="30" t="s">
        <v>72</v>
      </c>
      <c r="C20" s="32">
        <f>SUM(D20:AJ20)</f>
        <v>0</v>
      </c>
      <c r="E20" s="35"/>
      <c r="F20" s="35"/>
      <c r="G20" s="29"/>
      <c r="H20" s="29"/>
      <c r="I20" s="35"/>
      <c r="J20" s="35"/>
      <c r="K20" s="35"/>
      <c r="L20" s="69"/>
      <c r="M20" s="35"/>
      <c r="N20" s="69"/>
      <c r="O20" s="29"/>
      <c r="P20" s="71"/>
      <c r="Q20" s="69"/>
      <c r="R20" s="35"/>
      <c r="S20" s="29"/>
      <c r="T20" s="29"/>
      <c r="U20" s="29"/>
      <c r="V20" s="69"/>
      <c r="W20" s="69"/>
      <c r="X20" s="35"/>
      <c r="Y20" s="69"/>
      <c r="Z20" s="69"/>
      <c r="AA20" s="69"/>
      <c r="AB20" s="29"/>
      <c r="AC20" s="29"/>
      <c r="AD20" s="69"/>
      <c r="AE20" s="69"/>
      <c r="AF20" s="29"/>
      <c r="AG20" s="29"/>
      <c r="AH20" s="29"/>
      <c r="AI20" s="69"/>
      <c r="AJ20" s="71"/>
      <c r="AK20" s="29"/>
      <c r="AL20" s="29"/>
      <c r="AM20" s="29"/>
      <c r="AN20" s="29"/>
    </row>
    <row r="21" spans="1:40" ht="15.75" customHeight="1">
      <c r="A21" s="63" t="s">
        <v>74</v>
      </c>
      <c r="B21" s="73"/>
      <c r="C21" s="74">
        <f>SUM(C3:C20)</f>
        <v>5645898</v>
      </c>
      <c r="D21" s="74">
        <f t="shared" ref="D21:AJ21" si="0">SUM(D3:D20)</f>
        <v>400000</v>
      </c>
      <c r="E21" s="74">
        <f t="shared" si="0"/>
        <v>24000</v>
      </c>
      <c r="F21" s="74">
        <f t="shared" si="0"/>
        <v>113500</v>
      </c>
      <c r="G21" s="74">
        <f t="shared" si="0"/>
        <v>180000</v>
      </c>
      <c r="H21" s="74">
        <f t="shared" si="0"/>
        <v>37000</v>
      </c>
      <c r="I21" s="74">
        <f t="shared" si="0"/>
        <v>38060</v>
      </c>
      <c r="J21" s="74">
        <f t="shared" si="0"/>
        <v>520000</v>
      </c>
      <c r="K21" s="74">
        <f t="shared" si="0"/>
        <v>192000</v>
      </c>
      <c r="L21" s="74">
        <f t="shared" si="0"/>
        <v>46000</v>
      </c>
      <c r="M21" s="74">
        <f t="shared" si="0"/>
        <v>60000</v>
      </c>
      <c r="N21" s="74">
        <f t="shared" si="0"/>
        <v>444808</v>
      </c>
      <c r="O21" s="74">
        <f t="shared" si="0"/>
        <v>554480</v>
      </c>
      <c r="P21" s="74">
        <f t="shared" si="0"/>
        <v>824000</v>
      </c>
      <c r="Q21" s="74">
        <f t="shared" si="0"/>
        <v>137200</v>
      </c>
      <c r="R21" s="74">
        <f t="shared" si="0"/>
        <v>5400</v>
      </c>
      <c r="S21" s="74">
        <f t="shared" si="0"/>
        <v>17000</v>
      </c>
      <c r="T21" s="74">
        <f t="shared" si="0"/>
        <v>9000</v>
      </c>
      <c r="U21" s="74">
        <f t="shared" si="0"/>
        <v>140000</v>
      </c>
      <c r="V21" s="74">
        <f t="shared" si="0"/>
        <v>113000</v>
      </c>
      <c r="W21" s="74">
        <f t="shared" si="0"/>
        <v>260000</v>
      </c>
      <c r="X21" s="74">
        <f t="shared" si="0"/>
        <v>9100</v>
      </c>
      <c r="Y21" s="74">
        <f t="shared" si="0"/>
        <v>8300</v>
      </c>
      <c r="Z21" s="74">
        <f t="shared" si="0"/>
        <v>136000</v>
      </c>
      <c r="AA21" s="74">
        <f t="shared" si="0"/>
        <v>111150</v>
      </c>
      <c r="AB21" s="74">
        <f t="shared" si="0"/>
        <v>86000</v>
      </c>
      <c r="AC21" s="74">
        <f t="shared" si="0"/>
        <v>74500</v>
      </c>
      <c r="AD21" s="74">
        <f t="shared" si="0"/>
        <v>69500</v>
      </c>
      <c r="AE21" s="74">
        <f t="shared" si="0"/>
        <v>32380</v>
      </c>
      <c r="AF21" s="74">
        <f t="shared" si="0"/>
        <v>104000</v>
      </c>
      <c r="AG21" s="74">
        <f t="shared" si="0"/>
        <v>19030</v>
      </c>
      <c r="AH21" s="74">
        <f t="shared" si="0"/>
        <v>170000</v>
      </c>
      <c r="AI21" s="74">
        <f t="shared" si="0"/>
        <v>27500</v>
      </c>
      <c r="AJ21" s="74">
        <f t="shared" si="0"/>
        <v>682990</v>
      </c>
      <c r="AK21" s="29"/>
      <c r="AL21" s="29"/>
      <c r="AM21" s="29"/>
      <c r="AN21" s="29"/>
    </row>
    <row r="22" spans="1:40" ht="15.75" customHeight="1">
      <c r="A22" s="29"/>
      <c r="B22" s="30"/>
      <c r="C22" s="32">
        <f>SUM(D22:AJ22)</f>
        <v>0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29"/>
      <c r="P22" s="39"/>
      <c r="Q22" s="35"/>
      <c r="R22" s="29"/>
      <c r="S22" s="29"/>
      <c r="T22" s="29"/>
      <c r="U22" s="29"/>
      <c r="V22" s="35"/>
      <c r="W22" s="35"/>
      <c r="X22" s="29"/>
      <c r="Y22" s="35"/>
      <c r="Z22" s="35"/>
      <c r="AA22" s="35"/>
      <c r="AB22" s="29"/>
      <c r="AC22" s="29"/>
      <c r="AD22" s="35"/>
      <c r="AE22" s="35"/>
      <c r="AF22" s="29"/>
      <c r="AG22" s="29"/>
      <c r="AH22" s="29"/>
      <c r="AI22" s="35"/>
      <c r="AJ22" s="29"/>
      <c r="AK22" s="29"/>
      <c r="AL22" s="29"/>
      <c r="AM22" s="29"/>
      <c r="AN22" s="29"/>
    </row>
    <row r="23" spans="1:40" ht="15.75" customHeight="1">
      <c r="A23" s="29" t="s">
        <v>75</v>
      </c>
      <c r="B23" s="30"/>
      <c r="C23" s="32">
        <f>SUM(D23:AJ23)</f>
        <v>0</v>
      </c>
      <c r="D23" s="33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9"/>
      <c r="P23" s="39"/>
      <c r="Q23" s="35"/>
      <c r="R23" s="29"/>
      <c r="S23" s="29"/>
      <c r="T23" s="29"/>
      <c r="U23" s="29"/>
      <c r="V23" s="35"/>
      <c r="W23" s="35"/>
      <c r="X23" s="29"/>
      <c r="Y23" s="35"/>
      <c r="Z23" s="35"/>
      <c r="AA23" s="35"/>
      <c r="AB23" s="29"/>
      <c r="AC23" s="29"/>
      <c r="AD23" s="35"/>
      <c r="AE23" s="35"/>
      <c r="AF23" s="29"/>
      <c r="AG23" s="29"/>
      <c r="AH23" s="29"/>
      <c r="AI23" s="35"/>
      <c r="AJ23" s="29"/>
      <c r="AK23" s="29"/>
      <c r="AL23" s="29"/>
      <c r="AM23" s="29"/>
      <c r="AN23" s="29"/>
    </row>
    <row r="24" spans="1:40" ht="15.75" customHeight="1">
      <c r="A24" s="29">
        <v>5010</v>
      </c>
      <c r="B24" s="30" t="s">
        <v>76</v>
      </c>
      <c r="C24" s="32">
        <f>SUM(D24:AJ24)</f>
        <v>47500</v>
      </c>
      <c r="D24" s="33"/>
      <c r="E24" s="35"/>
      <c r="F24" s="35"/>
      <c r="G24" s="29"/>
      <c r="H24" s="29"/>
      <c r="I24" s="35"/>
      <c r="J24" s="35"/>
      <c r="K24" s="35"/>
      <c r="L24" s="35"/>
      <c r="M24" s="35"/>
      <c r="N24" s="35"/>
      <c r="O24" s="29"/>
      <c r="P24" s="39">
        <v>32000</v>
      </c>
      <c r="Q24" s="35"/>
      <c r="R24" s="29"/>
      <c r="T24" s="29"/>
      <c r="U24" s="29"/>
      <c r="V24" s="35"/>
      <c r="W24" s="35"/>
      <c r="X24" s="29"/>
      <c r="Y24" s="35"/>
      <c r="Z24" s="35"/>
      <c r="AA24" s="35"/>
      <c r="AB24" s="29"/>
      <c r="AC24" s="29"/>
      <c r="AD24" s="35"/>
      <c r="AE24" s="35"/>
      <c r="AF24" s="29"/>
      <c r="AG24" s="29">
        <v>5500</v>
      </c>
      <c r="AH24" s="39">
        <v>10000</v>
      </c>
      <c r="AI24" s="35"/>
      <c r="AJ24" s="29"/>
      <c r="AK24" s="29"/>
      <c r="AL24" s="29"/>
      <c r="AM24" s="29"/>
      <c r="AN24" s="29"/>
    </row>
    <row r="25" spans="1:40" ht="15.75" customHeight="1">
      <c r="A25" s="29">
        <v>5011</v>
      </c>
      <c r="B25" s="30" t="s">
        <v>77</v>
      </c>
      <c r="C25" s="32">
        <f>SUM(D25:AJ25)</f>
        <v>372950</v>
      </c>
      <c r="D25" s="33"/>
      <c r="E25" s="35"/>
      <c r="F25" s="35">
        <v>8950</v>
      </c>
      <c r="G25" s="35">
        <v>6000</v>
      </c>
      <c r="H25" s="35">
        <v>10000</v>
      </c>
      <c r="I25" s="35"/>
      <c r="J25" s="35">
        <v>235000</v>
      </c>
      <c r="K25" s="35"/>
      <c r="L25" s="35"/>
      <c r="M25" s="35"/>
      <c r="N25" s="35"/>
      <c r="O25" s="29"/>
      <c r="P25" s="39"/>
      <c r="Q25" s="35">
        <f>800*8*4</f>
        <v>25600</v>
      </c>
      <c r="R25" s="29"/>
      <c r="S25" s="29">
        <v>5000</v>
      </c>
      <c r="T25" s="29"/>
      <c r="U25" s="29"/>
      <c r="V25" s="35"/>
      <c r="W25" s="35"/>
      <c r="X25" s="29"/>
      <c r="Y25" s="35"/>
      <c r="Z25" s="35">
        <f>8000+2400</f>
        <v>10400</v>
      </c>
      <c r="AA25" s="35"/>
      <c r="AB25" s="29"/>
      <c r="AC25" s="29"/>
      <c r="AD25" s="35"/>
      <c r="AE25" s="35"/>
      <c r="AF25" s="29"/>
      <c r="AG25" s="29"/>
      <c r="AH25" s="29"/>
      <c r="AI25" s="35"/>
      <c r="AJ25" s="29">
        <v>72000</v>
      </c>
      <c r="AK25" s="29"/>
      <c r="AL25" s="29"/>
      <c r="AM25" s="29"/>
      <c r="AN25" s="29"/>
    </row>
    <row r="26" spans="1:40" ht="15.75" customHeight="1">
      <c r="A26" s="29">
        <v>5020</v>
      </c>
      <c r="B26" s="30" t="s">
        <v>78</v>
      </c>
      <c r="C26" s="32">
        <f>SUM(D26:AJ26)</f>
        <v>0</v>
      </c>
      <c r="D26" s="33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9"/>
      <c r="P26" s="39"/>
      <c r="Q26" s="35"/>
      <c r="R26" s="29"/>
      <c r="S26" s="29"/>
      <c r="T26" s="29"/>
      <c r="U26" s="29"/>
      <c r="V26" s="35"/>
      <c r="W26" s="35"/>
      <c r="X26" s="29"/>
      <c r="Y26" s="35"/>
      <c r="Z26" s="35"/>
      <c r="AA26" s="35"/>
      <c r="AB26" s="29"/>
      <c r="AC26" s="29"/>
      <c r="AD26" s="35"/>
      <c r="AE26" s="35"/>
      <c r="AF26" s="29"/>
      <c r="AG26" s="29"/>
      <c r="AH26" s="29"/>
      <c r="AI26" s="35"/>
      <c r="AJ26" s="29"/>
      <c r="AK26" s="29"/>
      <c r="AL26" s="29"/>
      <c r="AM26" s="29"/>
      <c r="AN26" s="29"/>
    </row>
    <row r="27" spans="1:40" ht="15.75" customHeight="1">
      <c r="A27" s="29">
        <v>5090</v>
      </c>
      <c r="B27" s="30" t="s">
        <v>79</v>
      </c>
      <c r="C27" s="32">
        <f>SUM(D27:AJ27)</f>
        <v>45000</v>
      </c>
      <c r="D27" s="33"/>
      <c r="E27" s="35"/>
      <c r="F27" s="35"/>
      <c r="G27" s="35">
        <v>45000</v>
      </c>
      <c r="H27" s="35"/>
      <c r="I27" s="35"/>
      <c r="J27" s="35"/>
      <c r="K27" s="35"/>
      <c r="L27" s="35"/>
      <c r="M27" s="35"/>
      <c r="N27" s="35"/>
      <c r="O27" s="29"/>
      <c r="P27" s="39"/>
      <c r="Q27" s="35"/>
      <c r="R27" s="29"/>
      <c r="S27" s="29"/>
      <c r="T27" s="29"/>
      <c r="U27" s="29"/>
      <c r="V27" s="35"/>
      <c r="W27" s="35"/>
      <c r="X27" s="29"/>
      <c r="Y27" s="35"/>
      <c r="Z27" s="35"/>
      <c r="AA27" s="35"/>
      <c r="AB27" s="29"/>
      <c r="AC27" s="29"/>
      <c r="AD27" s="35"/>
      <c r="AE27" s="35"/>
      <c r="AF27" s="29"/>
      <c r="AG27" s="29"/>
      <c r="AH27" s="29"/>
      <c r="AI27" s="35"/>
      <c r="AJ27" s="29"/>
      <c r="AK27" s="29"/>
      <c r="AL27" s="29"/>
      <c r="AM27" s="29"/>
      <c r="AN27" s="29"/>
    </row>
    <row r="28" spans="1:40" ht="15.75" customHeight="1">
      <c r="A28" s="29">
        <v>5250</v>
      </c>
      <c r="B28" s="30" t="s">
        <v>80</v>
      </c>
      <c r="C28" s="32">
        <f>SUM(D28:AJ28)</f>
        <v>0</v>
      </c>
      <c r="D28" s="33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9"/>
      <c r="P28" s="39"/>
      <c r="Q28" s="35"/>
      <c r="R28" s="29"/>
      <c r="S28" s="29"/>
      <c r="T28" s="29"/>
      <c r="U28" s="29"/>
      <c r="V28" s="35"/>
      <c r="W28" s="35"/>
      <c r="X28" s="29"/>
      <c r="Y28" s="35"/>
      <c r="Z28" s="35"/>
      <c r="AA28" s="35"/>
      <c r="AB28" s="29"/>
      <c r="AC28" s="29"/>
      <c r="AD28" s="35"/>
      <c r="AE28" s="35"/>
      <c r="AF28" s="29"/>
      <c r="AG28" s="29"/>
      <c r="AH28" s="29"/>
      <c r="AI28" s="35"/>
      <c r="AJ28" s="29"/>
      <c r="AK28" s="29"/>
      <c r="AL28" s="29"/>
      <c r="AM28" s="29"/>
      <c r="AN28" s="29"/>
    </row>
    <row r="29" spans="1:40" ht="15.75" customHeight="1">
      <c r="A29" s="29">
        <v>5270</v>
      </c>
      <c r="B29" s="30" t="s">
        <v>81</v>
      </c>
      <c r="C29" s="32">
        <f>SUM(D29:AJ29)</f>
        <v>0</v>
      </c>
      <c r="D29" s="33"/>
      <c r="E29" s="35"/>
      <c r="F29" s="35"/>
      <c r="G29" s="29"/>
      <c r="H29" s="29"/>
      <c r="I29" s="35"/>
      <c r="J29" s="35"/>
      <c r="K29" s="35"/>
      <c r="L29" s="35"/>
      <c r="M29" s="35"/>
      <c r="N29" s="35"/>
      <c r="O29" s="29"/>
      <c r="P29" s="39"/>
      <c r="Q29" s="35"/>
      <c r="R29" s="29"/>
      <c r="S29" s="29"/>
      <c r="T29" s="29"/>
      <c r="U29" s="29"/>
      <c r="V29" s="35"/>
      <c r="W29" s="35"/>
      <c r="X29" s="29"/>
      <c r="Y29" s="35"/>
      <c r="Z29" s="35"/>
      <c r="AA29" s="35"/>
      <c r="AB29" s="29"/>
      <c r="AC29" s="29"/>
      <c r="AD29" s="35"/>
      <c r="AE29" s="35"/>
      <c r="AF29" s="29"/>
      <c r="AG29" s="29"/>
      <c r="AH29" s="29"/>
      <c r="AI29" s="35"/>
      <c r="AJ29" s="29"/>
      <c r="AK29" s="29"/>
      <c r="AL29" s="29"/>
      <c r="AM29" s="29"/>
      <c r="AN29" s="29"/>
    </row>
    <row r="30" spans="1:40" ht="15.75" customHeight="1">
      <c r="A30" s="29">
        <v>5290</v>
      </c>
      <c r="B30" s="30" t="s">
        <v>82</v>
      </c>
      <c r="C30" s="32">
        <f>SUM(D30:AJ30)</f>
        <v>0</v>
      </c>
      <c r="D30" s="33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9"/>
      <c r="P30" s="39"/>
      <c r="Q30" s="35"/>
      <c r="R30" s="29"/>
      <c r="S30" s="29"/>
      <c r="T30" s="29"/>
      <c r="U30" s="29"/>
      <c r="V30" s="35"/>
      <c r="W30" s="35"/>
      <c r="X30" s="29"/>
      <c r="Y30" s="35"/>
      <c r="Z30" s="35"/>
      <c r="AA30" s="35"/>
      <c r="AB30" s="29"/>
      <c r="AC30" s="29"/>
      <c r="AD30" s="35"/>
      <c r="AE30" s="35"/>
      <c r="AF30" s="29"/>
      <c r="AG30" s="29"/>
      <c r="AH30" s="29"/>
      <c r="AI30" s="35"/>
      <c r="AJ30" s="29"/>
      <c r="AK30" s="29"/>
      <c r="AL30" s="29"/>
      <c r="AM30" s="29"/>
      <c r="AN30" s="29"/>
    </row>
    <row r="31" spans="1:40" ht="15.75" customHeight="1">
      <c r="A31" s="29">
        <v>5310</v>
      </c>
      <c r="B31" s="30" t="s">
        <v>83</v>
      </c>
      <c r="C31" s="32">
        <f>SUM(D31:AJ31)</f>
        <v>0</v>
      </c>
      <c r="D31" s="33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9"/>
      <c r="P31" s="39"/>
      <c r="Q31" s="35"/>
      <c r="R31" s="29"/>
      <c r="S31" s="29"/>
      <c r="T31" s="29"/>
      <c r="U31" s="29"/>
      <c r="V31" s="35"/>
      <c r="W31" s="35"/>
      <c r="X31" s="29"/>
      <c r="Y31" s="35"/>
      <c r="Z31" s="35"/>
      <c r="AA31" s="35"/>
      <c r="AB31" s="29"/>
      <c r="AC31" s="29"/>
      <c r="AD31" s="35"/>
      <c r="AE31" s="35"/>
      <c r="AF31" s="29"/>
      <c r="AG31" s="29"/>
      <c r="AH31" s="29"/>
      <c r="AI31" s="35"/>
      <c r="AJ31" s="29"/>
      <c r="AK31" s="29"/>
      <c r="AL31" s="29"/>
      <c r="AM31" s="29"/>
      <c r="AN31" s="29"/>
    </row>
    <row r="32" spans="1:40" ht="15.75" customHeight="1">
      <c r="A32" s="29">
        <v>5330</v>
      </c>
      <c r="B32" s="30" t="s">
        <v>84</v>
      </c>
      <c r="C32" s="32">
        <f>SUM(D32:AJ32)</f>
        <v>0</v>
      </c>
      <c r="D32" s="33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29"/>
      <c r="P32" s="39"/>
      <c r="Q32" s="35"/>
      <c r="R32" s="29"/>
      <c r="S32" s="29"/>
      <c r="T32" s="29"/>
      <c r="U32" s="29"/>
      <c r="V32" s="35"/>
      <c r="W32" s="35"/>
      <c r="X32" s="29"/>
      <c r="Y32" s="35"/>
      <c r="Z32" s="35"/>
      <c r="AA32" s="35"/>
      <c r="AB32" s="29"/>
      <c r="AC32" s="29"/>
      <c r="AD32" s="35"/>
      <c r="AE32" s="35"/>
      <c r="AF32" s="29"/>
      <c r="AG32" s="29"/>
      <c r="AH32" s="29"/>
      <c r="AI32" s="35"/>
      <c r="AJ32" s="29"/>
      <c r="AK32" s="29"/>
      <c r="AL32" s="29"/>
      <c r="AM32" s="29"/>
      <c r="AN32" s="29"/>
    </row>
    <row r="33" spans="1:40" ht="15.75" customHeight="1">
      <c r="A33" s="29">
        <v>5350</v>
      </c>
      <c r="B33" s="30" t="s">
        <v>85</v>
      </c>
      <c r="C33" s="32">
        <f>SUM(D33:AJ33)</f>
        <v>292695</v>
      </c>
      <c r="D33" s="33"/>
      <c r="E33" s="35"/>
      <c r="F33" s="35"/>
      <c r="G33" s="29"/>
      <c r="H33" s="29"/>
      <c r="I33" s="35"/>
      <c r="J33" s="35"/>
      <c r="K33" s="35"/>
      <c r="L33" s="35"/>
      <c r="M33" s="35"/>
      <c r="N33" s="35">
        <v>85000</v>
      </c>
      <c r="O33" s="29"/>
      <c r="P33" s="39">
        <v>150000</v>
      </c>
      <c r="Q33" s="35"/>
      <c r="R33" s="29"/>
      <c r="S33" s="29"/>
      <c r="T33" s="29"/>
      <c r="U33" s="29"/>
      <c r="V33" s="35"/>
      <c r="W33" s="35"/>
      <c r="X33" s="29"/>
      <c r="Y33" s="35"/>
      <c r="Z33" s="35"/>
      <c r="AA33" s="35"/>
      <c r="AB33" s="29"/>
      <c r="AC33" s="29"/>
      <c r="AD33" s="35"/>
      <c r="AE33" s="35"/>
      <c r="AF33" s="29"/>
      <c r="AG33" s="29"/>
      <c r="AH33" s="29"/>
      <c r="AI33" s="35"/>
      <c r="AJ33" s="29">
        <v>57695</v>
      </c>
      <c r="AK33" s="29"/>
      <c r="AL33" s="29"/>
      <c r="AM33" s="29"/>
      <c r="AN33" s="29"/>
    </row>
    <row r="34" spans="1:40" ht="15.75" customHeight="1">
      <c r="A34" s="29">
        <v>5400</v>
      </c>
      <c r="B34" s="30" t="s">
        <v>86</v>
      </c>
      <c r="C34" s="32">
        <f>SUM(D34:AJ34)</f>
        <v>43850.35</v>
      </c>
      <c r="D34" s="33"/>
      <c r="E34" s="35"/>
      <c r="F34" s="35">
        <v>1261.95</v>
      </c>
      <c r="G34" s="35"/>
      <c r="H34" s="29"/>
      <c r="I34" s="35"/>
      <c r="J34" s="35">
        <v>21000</v>
      </c>
      <c r="K34" s="35"/>
      <c r="L34" s="35"/>
      <c r="M34" s="35"/>
      <c r="N34" s="35">
        <v>12000</v>
      </c>
      <c r="O34" s="29"/>
      <c r="P34" s="39">
        <v>4512</v>
      </c>
      <c r="Q34" s="35">
        <v>3610</v>
      </c>
      <c r="R34" s="29"/>
      <c r="S34" s="29"/>
      <c r="T34" s="29"/>
      <c r="U34" s="29"/>
      <c r="V34" s="35"/>
      <c r="W34" s="35"/>
      <c r="X34" s="29"/>
      <c r="Y34" s="35"/>
      <c r="Z34" s="35">
        <f>Z25*0.141</f>
        <v>1466.3999999999999</v>
      </c>
      <c r="AA34" s="35"/>
      <c r="AB34" s="29"/>
      <c r="AC34" s="29"/>
      <c r="AD34" s="35"/>
      <c r="AE34" s="35"/>
      <c r="AF34" s="29"/>
      <c r="AG34" s="29"/>
      <c r="AH34" s="29"/>
      <c r="AI34" s="35"/>
      <c r="AJ34" s="29"/>
      <c r="AK34" s="29"/>
      <c r="AL34" s="29"/>
      <c r="AM34" s="29"/>
      <c r="AN34" s="29"/>
    </row>
    <row r="35" spans="1:40" ht="15.75" customHeight="1">
      <c r="A35" s="29">
        <v>5411</v>
      </c>
      <c r="B35" s="30" t="s">
        <v>87</v>
      </c>
      <c r="C35" s="32">
        <f>SUM(D35:AJ35)</f>
        <v>0</v>
      </c>
      <c r="D35" s="33"/>
      <c r="E35" s="35"/>
      <c r="F35" s="35"/>
      <c r="G35" s="29"/>
      <c r="H35" s="29"/>
      <c r="I35" s="35"/>
      <c r="J35" s="35"/>
      <c r="K35" s="35"/>
      <c r="L35" s="35"/>
      <c r="M35" s="35"/>
      <c r="N35" s="35"/>
      <c r="O35" s="29"/>
      <c r="P35" s="39"/>
      <c r="Q35" s="35"/>
      <c r="R35" s="29"/>
      <c r="S35" s="29"/>
      <c r="T35" s="29"/>
      <c r="U35" s="29"/>
      <c r="V35" s="35"/>
      <c r="W35" s="35"/>
      <c r="X35" s="29"/>
      <c r="Y35" s="35"/>
      <c r="Z35" s="35"/>
      <c r="AA35" s="35"/>
      <c r="AB35" s="29"/>
      <c r="AC35" s="29"/>
      <c r="AD35" s="35"/>
      <c r="AE35" s="35"/>
      <c r="AF35" s="29"/>
      <c r="AG35" s="29"/>
      <c r="AH35" s="29"/>
      <c r="AI35" s="35"/>
      <c r="AJ35" s="29"/>
      <c r="AK35" s="29"/>
      <c r="AL35" s="29"/>
      <c r="AM35" s="29"/>
      <c r="AN35" s="29"/>
    </row>
    <row r="36" spans="1:40" ht="15.75" customHeight="1">
      <c r="A36" s="29">
        <v>5510</v>
      </c>
      <c r="B36" s="30" t="s">
        <v>88</v>
      </c>
      <c r="C36" s="32">
        <f>SUM(D36:AJ36)</f>
        <v>0</v>
      </c>
      <c r="D36" s="33"/>
      <c r="E36" s="35"/>
      <c r="F36" s="35"/>
      <c r="G36" s="29"/>
      <c r="H36" s="29"/>
      <c r="I36" s="35"/>
      <c r="J36" s="35"/>
      <c r="K36" s="35"/>
      <c r="L36" s="35"/>
      <c r="M36" s="35"/>
      <c r="N36" s="35"/>
      <c r="O36" s="29"/>
      <c r="P36" s="39"/>
      <c r="Q36" s="35"/>
      <c r="R36" s="29"/>
      <c r="S36" s="29"/>
      <c r="T36" s="29"/>
      <c r="U36" s="29"/>
      <c r="V36" s="35"/>
      <c r="W36" s="35"/>
      <c r="X36" s="29"/>
      <c r="Y36" s="35"/>
      <c r="Z36" s="35"/>
      <c r="AA36" s="35"/>
      <c r="AB36" s="29"/>
      <c r="AC36" s="29"/>
      <c r="AD36" s="35"/>
      <c r="AE36" s="35"/>
      <c r="AF36" s="29"/>
      <c r="AG36" s="29"/>
      <c r="AH36" s="29"/>
      <c r="AI36" s="35"/>
      <c r="AJ36" s="29"/>
      <c r="AK36" s="29"/>
      <c r="AL36" s="29"/>
      <c r="AM36" s="29"/>
      <c r="AN36" s="29"/>
    </row>
    <row r="37" spans="1:40" ht="15.75" customHeight="1">
      <c r="A37" s="29">
        <v>5900</v>
      </c>
      <c r="B37" s="30" t="s">
        <v>89</v>
      </c>
      <c r="C37" s="32">
        <f>SUM(D37:AJ37)</f>
        <v>0</v>
      </c>
      <c r="D37" s="33"/>
      <c r="E37" s="35"/>
      <c r="F37" s="35"/>
      <c r="G37" s="35"/>
      <c r="H37" s="29"/>
      <c r="I37" s="35"/>
      <c r="J37" s="35"/>
      <c r="K37" s="35"/>
      <c r="L37" s="35"/>
      <c r="M37" s="35"/>
      <c r="N37" s="35"/>
      <c r="O37" s="29"/>
      <c r="P37" s="39"/>
      <c r="Q37" s="35"/>
      <c r="R37" s="29"/>
      <c r="S37" s="29"/>
      <c r="T37" s="29"/>
      <c r="U37" s="29"/>
      <c r="V37" s="35"/>
      <c r="W37" s="35"/>
      <c r="X37" s="29"/>
      <c r="Y37" s="35"/>
      <c r="Z37" s="35"/>
      <c r="AA37" s="35"/>
      <c r="AB37" s="29"/>
      <c r="AC37" s="29"/>
      <c r="AD37" s="35"/>
      <c r="AE37" s="35"/>
      <c r="AF37" s="29"/>
      <c r="AG37" s="29"/>
      <c r="AH37" s="29"/>
      <c r="AI37" s="35"/>
      <c r="AJ37" s="29"/>
      <c r="AK37" s="29"/>
      <c r="AL37" s="29"/>
      <c r="AM37" s="29"/>
      <c r="AN37" s="29"/>
    </row>
    <row r="38" spans="1:40" ht="15.75" customHeight="1">
      <c r="A38" s="29">
        <v>5910</v>
      </c>
      <c r="B38" s="30" t="s">
        <v>90</v>
      </c>
      <c r="C38" s="32">
        <f>SUM(D38:AJ38)</f>
        <v>0</v>
      </c>
      <c r="D38" s="33"/>
      <c r="E38" s="35"/>
      <c r="F38" s="35"/>
      <c r="G38" s="35"/>
      <c r="H38" s="29"/>
      <c r="I38" s="35"/>
      <c r="J38" s="35"/>
      <c r="K38" s="35"/>
      <c r="L38" s="35"/>
      <c r="M38" s="35"/>
      <c r="N38" s="35"/>
      <c r="O38" s="29"/>
      <c r="P38" s="39"/>
      <c r="Q38" s="35"/>
      <c r="R38" s="29"/>
      <c r="S38" s="29"/>
      <c r="T38" s="29"/>
      <c r="U38" s="29"/>
      <c r="V38" s="35"/>
      <c r="W38" s="35"/>
      <c r="X38" s="29"/>
      <c r="Y38" s="35"/>
      <c r="Z38" s="35"/>
      <c r="AA38" s="35"/>
      <c r="AB38" s="29"/>
      <c r="AC38" s="29"/>
      <c r="AD38" s="35"/>
      <c r="AE38" s="35"/>
      <c r="AF38" s="29"/>
      <c r="AG38" s="29"/>
      <c r="AH38" s="29"/>
      <c r="AI38" s="35"/>
      <c r="AJ38" s="29"/>
      <c r="AK38" s="29"/>
      <c r="AL38" s="29"/>
      <c r="AM38" s="29"/>
      <c r="AN38" s="29"/>
    </row>
    <row r="39" spans="1:40" ht="15.75" customHeight="1">
      <c r="A39" s="29">
        <v>5945</v>
      </c>
      <c r="B39" s="30" t="s">
        <v>91</v>
      </c>
      <c r="C39" s="32">
        <f>SUM(D39:AJ39)</f>
        <v>0</v>
      </c>
      <c r="D39" s="33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9"/>
      <c r="P39" s="39"/>
      <c r="Q39" s="35"/>
      <c r="R39" s="29"/>
      <c r="S39" s="29"/>
      <c r="T39" s="29"/>
      <c r="U39" s="29"/>
      <c r="V39" s="35"/>
      <c r="W39" s="35"/>
      <c r="X39" s="29"/>
      <c r="Y39" s="35"/>
      <c r="Z39" s="35"/>
      <c r="AA39" s="35"/>
      <c r="AB39" s="29"/>
      <c r="AC39" s="29"/>
      <c r="AD39" s="35"/>
      <c r="AE39" s="35"/>
      <c r="AF39" s="29"/>
      <c r="AG39" s="29"/>
      <c r="AH39" s="29"/>
      <c r="AI39" s="35"/>
      <c r="AJ39" s="29"/>
      <c r="AK39" s="29"/>
      <c r="AL39" s="29"/>
      <c r="AM39" s="29"/>
      <c r="AN39" s="29"/>
    </row>
    <row r="40" spans="1:40" ht="15.75" customHeight="1">
      <c r="A40" s="29">
        <v>5990</v>
      </c>
      <c r="B40" s="30" t="s">
        <v>92</v>
      </c>
      <c r="C40" s="32">
        <f>SUM(D40:AJ40)</f>
        <v>17700</v>
      </c>
      <c r="D40" s="33"/>
      <c r="E40" s="35">
        <v>2000</v>
      </c>
      <c r="F40" s="35"/>
      <c r="G40" s="35"/>
      <c r="H40" s="35"/>
      <c r="I40" s="35"/>
      <c r="J40" s="35"/>
      <c r="K40" s="35"/>
      <c r="L40" s="69"/>
      <c r="M40" s="35"/>
      <c r="N40" s="69"/>
      <c r="O40" s="29">
        <v>15000</v>
      </c>
      <c r="P40" s="71"/>
      <c r="Q40" s="69"/>
      <c r="R40" s="56">
        <v>700</v>
      </c>
      <c r="S40" s="29"/>
      <c r="T40" s="29"/>
      <c r="U40" s="29"/>
      <c r="V40" s="69"/>
      <c r="W40" s="69"/>
      <c r="X40" s="29"/>
      <c r="Y40" s="69"/>
      <c r="Z40" s="69"/>
      <c r="AA40" s="69"/>
      <c r="AB40" s="29"/>
      <c r="AC40" s="29"/>
      <c r="AD40" s="69"/>
      <c r="AE40" s="69"/>
      <c r="AF40" s="29"/>
      <c r="AG40" s="29"/>
      <c r="AH40" s="29"/>
      <c r="AI40" s="69"/>
      <c r="AJ40" s="29"/>
      <c r="AK40" s="29"/>
      <c r="AL40" s="29"/>
      <c r="AM40" s="29"/>
      <c r="AN40" s="29"/>
    </row>
    <row r="41" spans="1:40" ht="15.75" customHeight="1">
      <c r="A41" s="63" t="s">
        <v>93</v>
      </c>
      <c r="B41" s="73"/>
      <c r="C41" s="74">
        <f>SUM(C22:C40)</f>
        <v>819695.35</v>
      </c>
      <c r="D41" s="74">
        <f t="shared" ref="D41:AJ41" si="1">SUM(D22:D40)</f>
        <v>0</v>
      </c>
      <c r="E41" s="74">
        <f t="shared" si="1"/>
        <v>2000</v>
      </c>
      <c r="F41" s="74">
        <f t="shared" si="1"/>
        <v>10211.950000000001</v>
      </c>
      <c r="G41" s="74">
        <f t="shared" si="1"/>
        <v>51000</v>
      </c>
      <c r="H41" s="74">
        <f t="shared" si="1"/>
        <v>10000</v>
      </c>
      <c r="I41" s="74">
        <f t="shared" si="1"/>
        <v>0</v>
      </c>
      <c r="J41" s="74">
        <f t="shared" si="1"/>
        <v>256000</v>
      </c>
      <c r="K41" s="74">
        <f t="shared" si="1"/>
        <v>0</v>
      </c>
      <c r="L41" s="74">
        <f t="shared" si="1"/>
        <v>0</v>
      </c>
      <c r="M41" s="74">
        <f t="shared" si="1"/>
        <v>0</v>
      </c>
      <c r="N41" s="74">
        <f t="shared" si="1"/>
        <v>97000</v>
      </c>
      <c r="O41" s="74">
        <f t="shared" si="1"/>
        <v>15000</v>
      </c>
      <c r="P41" s="74">
        <f t="shared" si="1"/>
        <v>186512</v>
      </c>
      <c r="Q41" s="74">
        <f t="shared" si="1"/>
        <v>29210</v>
      </c>
      <c r="R41" s="74">
        <f t="shared" si="1"/>
        <v>700</v>
      </c>
      <c r="S41" s="74">
        <f t="shared" si="1"/>
        <v>5000</v>
      </c>
      <c r="T41" s="74">
        <f t="shared" si="1"/>
        <v>0</v>
      </c>
      <c r="U41" s="74">
        <f t="shared" si="1"/>
        <v>0</v>
      </c>
      <c r="V41" s="74">
        <f t="shared" si="1"/>
        <v>0</v>
      </c>
      <c r="W41" s="74">
        <f t="shared" si="1"/>
        <v>0</v>
      </c>
      <c r="X41" s="74">
        <f t="shared" si="1"/>
        <v>0</v>
      </c>
      <c r="Y41" s="74">
        <f t="shared" si="1"/>
        <v>0</v>
      </c>
      <c r="Z41" s="74">
        <f t="shared" si="1"/>
        <v>11866.4</v>
      </c>
      <c r="AA41" s="74">
        <f t="shared" si="1"/>
        <v>0</v>
      </c>
      <c r="AB41" s="74">
        <f t="shared" si="1"/>
        <v>0</v>
      </c>
      <c r="AC41" s="74">
        <f t="shared" si="1"/>
        <v>0</v>
      </c>
      <c r="AD41" s="74">
        <f t="shared" si="1"/>
        <v>0</v>
      </c>
      <c r="AE41" s="74">
        <f t="shared" si="1"/>
        <v>0</v>
      </c>
      <c r="AF41" s="74">
        <f t="shared" si="1"/>
        <v>0</v>
      </c>
      <c r="AG41" s="74">
        <f t="shared" si="1"/>
        <v>5500</v>
      </c>
      <c r="AH41" s="74">
        <f t="shared" si="1"/>
        <v>10000</v>
      </c>
      <c r="AI41" s="74">
        <f t="shared" si="1"/>
        <v>0</v>
      </c>
      <c r="AJ41" s="74">
        <f t="shared" si="1"/>
        <v>129695</v>
      </c>
      <c r="AK41" s="29"/>
      <c r="AL41" s="29"/>
      <c r="AM41" s="29"/>
      <c r="AN41" s="29"/>
    </row>
    <row r="42" spans="1:40" ht="15.75" customHeight="1">
      <c r="A42" s="29"/>
      <c r="B42" s="30"/>
      <c r="C42" s="32"/>
      <c r="E42" s="35"/>
      <c r="F42" s="35"/>
      <c r="G42" s="29"/>
      <c r="H42" s="29"/>
      <c r="I42" s="35"/>
      <c r="J42" s="35"/>
      <c r="K42" s="35"/>
      <c r="L42" s="35"/>
      <c r="M42" s="35"/>
      <c r="N42" s="35"/>
      <c r="O42" s="29"/>
      <c r="P42" s="39"/>
      <c r="Q42" s="35"/>
      <c r="R42" s="29"/>
      <c r="S42" s="29"/>
      <c r="T42" s="29"/>
      <c r="U42" s="29"/>
      <c r="V42" s="35"/>
      <c r="W42" s="35"/>
      <c r="X42" s="29"/>
      <c r="Y42" s="35"/>
      <c r="Z42" s="35"/>
      <c r="AA42" s="35"/>
      <c r="AB42" s="29"/>
      <c r="AC42" s="29"/>
      <c r="AD42" s="35"/>
      <c r="AE42" s="35"/>
      <c r="AF42" s="29"/>
      <c r="AG42" s="29"/>
      <c r="AH42" s="29"/>
      <c r="AI42" s="35"/>
      <c r="AJ42" s="29"/>
      <c r="AK42" s="29"/>
      <c r="AL42" s="29"/>
      <c r="AM42" s="29"/>
      <c r="AN42" s="29"/>
    </row>
    <row r="43" spans="1:40" ht="15.75" customHeight="1">
      <c r="A43" s="29" t="s">
        <v>99</v>
      </c>
      <c r="B43" s="30"/>
      <c r="C43" s="32"/>
      <c r="D43" s="33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9"/>
      <c r="P43" s="39"/>
      <c r="Q43" s="35"/>
      <c r="R43" s="29"/>
      <c r="S43" s="29"/>
      <c r="T43" s="29"/>
      <c r="U43" s="29"/>
      <c r="V43" s="69"/>
      <c r="W43" s="69"/>
      <c r="X43" s="29"/>
      <c r="Y43" s="69"/>
      <c r="Z43" s="69"/>
      <c r="AA43" s="69"/>
      <c r="AB43" s="29"/>
      <c r="AC43" s="29"/>
      <c r="AD43" s="69"/>
      <c r="AE43" s="69"/>
      <c r="AF43" s="29"/>
      <c r="AG43" s="29"/>
      <c r="AH43" s="29"/>
      <c r="AI43" s="69"/>
      <c r="AJ43" s="29"/>
      <c r="AK43" s="29"/>
      <c r="AL43" s="29"/>
      <c r="AM43" s="29"/>
      <c r="AN43" s="29"/>
    </row>
    <row r="44" spans="1:40" ht="15.75" customHeight="1">
      <c r="A44" s="29">
        <v>4110</v>
      </c>
      <c r="B44" s="30" t="s">
        <v>100</v>
      </c>
      <c r="C44" s="32">
        <f>SUM(D44:AJ44)</f>
        <v>185400</v>
      </c>
      <c r="D44" s="33"/>
      <c r="E44" s="35">
        <v>3000</v>
      </c>
      <c r="F44" s="35">
        <v>35000</v>
      </c>
      <c r="G44" s="35"/>
      <c r="H44" s="29"/>
      <c r="I44" s="35">
        <v>3500</v>
      </c>
      <c r="J44" s="35"/>
      <c r="K44" s="35"/>
      <c r="L44" s="35"/>
      <c r="M44" s="35">
        <v>10000</v>
      </c>
      <c r="N44" s="35"/>
      <c r="O44" s="29">
        <v>65000</v>
      </c>
      <c r="P44" s="39"/>
      <c r="Q44" s="35"/>
      <c r="R44" s="35">
        <v>1200</v>
      </c>
      <c r="S44" s="29"/>
      <c r="T44" s="29"/>
      <c r="U44" s="29"/>
      <c r="V44" s="35">
        <v>37000</v>
      </c>
      <c r="W44" s="35"/>
      <c r="X44" s="35">
        <v>100</v>
      </c>
      <c r="Y44" s="35"/>
      <c r="Z44" s="35"/>
      <c r="AA44" s="35"/>
      <c r="AC44" s="29">
        <v>1100</v>
      </c>
      <c r="AD44" s="35">
        <v>3000</v>
      </c>
      <c r="AE44" s="35"/>
      <c r="AF44" s="41">
        <v>12500</v>
      </c>
      <c r="AG44" s="29">
        <v>500</v>
      </c>
      <c r="AH44" s="29"/>
      <c r="AI44" s="35">
        <f>10000+3500</f>
        <v>13500</v>
      </c>
      <c r="AJ44" s="29"/>
      <c r="AK44" s="29"/>
      <c r="AL44" s="29"/>
      <c r="AM44" s="29"/>
      <c r="AN44" s="29"/>
    </row>
    <row r="45" spans="1:40" ht="15.75" customHeight="1">
      <c r="A45" s="29">
        <v>4120</v>
      </c>
      <c r="B45" s="30" t="s">
        <v>101</v>
      </c>
      <c r="C45" s="32">
        <f>SUM(D45:AJ45)</f>
        <v>337500</v>
      </c>
      <c r="D45" s="50"/>
      <c r="E45" s="35"/>
      <c r="F45" s="35">
        <v>3000</v>
      </c>
      <c r="G45" s="35">
        <v>54000</v>
      </c>
      <c r="H45" s="35">
        <v>5000</v>
      </c>
      <c r="I45" s="35">
        <v>3500</v>
      </c>
      <c r="J45" s="35"/>
      <c r="K45" s="35"/>
      <c r="L45" s="35">
        <v>20000</v>
      </c>
      <c r="M45" s="35">
        <v>25000</v>
      </c>
      <c r="N45" s="35">
        <v>60000</v>
      </c>
      <c r="O45" s="29">
        <v>25000</v>
      </c>
      <c r="P45" s="39"/>
      <c r="Q45" s="35">
        <f>2200+2800+3000+10000</f>
        <v>18000</v>
      </c>
      <c r="R45" s="35">
        <v>1000</v>
      </c>
      <c r="S45" s="29">
        <v>1000</v>
      </c>
      <c r="T45" s="29">
        <v>1000</v>
      </c>
      <c r="U45" s="29"/>
      <c r="V45" s="35">
        <v>10000</v>
      </c>
      <c r="W45" s="35">
        <v>20000</v>
      </c>
      <c r="X45" s="29"/>
      <c r="Y45" s="35"/>
      <c r="Z45" s="35"/>
      <c r="AA45" s="35">
        <v>4000</v>
      </c>
      <c r="AB45" s="29">
        <v>12000</v>
      </c>
      <c r="AC45" s="29"/>
      <c r="AD45" s="60">
        <v>21000</v>
      </c>
      <c r="AE45" s="35">
        <v>5000</v>
      </c>
      <c r="AF45" s="41">
        <v>8000</v>
      </c>
      <c r="AG45" s="29"/>
      <c r="AH45" s="41">
        <v>5000</v>
      </c>
      <c r="AI45" s="35">
        <v>1000</v>
      </c>
      <c r="AJ45" s="29">
        <v>35000</v>
      </c>
      <c r="AK45" s="29"/>
      <c r="AL45" s="29"/>
      <c r="AM45" s="29"/>
      <c r="AN45" s="29"/>
    </row>
    <row r="46" spans="1:40" ht="15.75" customHeight="1">
      <c r="A46" s="29">
        <v>4150</v>
      </c>
      <c r="B46" s="30" t="s">
        <v>102</v>
      </c>
      <c r="C46" s="32">
        <f>SUM(D46:AJ46)</f>
        <v>403560</v>
      </c>
      <c r="D46" s="50">
        <v>200000</v>
      </c>
      <c r="E46" s="35"/>
      <c r="F46" s="35"/>
      <c r="G46" s="35"/>
      <c r="H46" s="35"/>
      <c r="I46" s="35"/>
      <c r="J46" s="35"/>
      <c r="K46" s="35"/>
      <c r="L46" s="35"/>
      <c r="M46" s="35">
        <v>2000</v>
      </c>
      <c r="N46" s="35"/>
      <c r="O46" s="29">
        <v>61480</v>
      </c>
      <c r="P46" s="39"/>
      <c r="Q46" s="35"/>
      <c r="R46" s="29"/>
      <c r="S46" s="29"/>
      <c r="T46" s="29"/>
      <c r="U46" s="29"/>
      <c r="V46" s="35"/>
      <c r="W46" s="35">
        <v>130000</v>
      </c>
      <c r="X46" s="29"/>
      <c r="Y46" s="35"/>
      <c r="Z46" s="35"/>
      <c r="AA46" s="35"/>
      <c r="AB46" s="29"/>
      <c r="AD46" s="35">
        <v>10080</v>
      </c>
      <c r="AE46" s="35"/>
      <c r="AF46" s="41"/>
      <c r="AG46" s="29"/>
      <c r="AH46" s="41"/>
      <c r="AI46" s="35"/>
      <c r="AJ46" s="29"/>
      <c r="AK46" s="29"/>
      <c r="AL46" s="29"/>
      <c r="AM46" s="29"/>
      <c r="AN46" s="29"/>
    </row>
    <row r="47" spans="1:40" ht="15.75" customHeight="1">
      <c r="A47" s="29">
        <v>4200</v>
      </c>
      <c r="B47" s="30" t="s">
        <v>103</v>
      </c>
      <c r="C47" s="32">
        <f>SUM(D47:AJ47)</f>
        <v>814619</v>
      </c>
      <c r="D47" s="50"/>
      <c r="E47" s="35">
        <v>5750</v>
      </c>
      <c r="F47" s="35">
        <v>38000</v>
      </c>
      <c r="G47" s="35">
        <v>67704</v>
      </c>
      <c r="H47" s="35">
        <v>4150</v>
      </c>
      <c r="I47" s="35">
        <v>3360</v>
      </c>
      <c r="J47" s="35">
        <v>3000</v>
      </c>
      <c r="K47" s="35">
        <v>7000</v>
      </c>
      <c r="L47" s="35"/>
      <c r="M47" s="35">
        <v>13000</v>
      </c>
      <c r="N47" s="35">
        <v>62000</v>
      </c>
      <c r="O47" s="29">
        <v>45000</v>
      </c>
      <c r="P47" s="39">
        <v>180000</v>
      </c>
      <c r="Q47" s="35">
        <f>36800+2100+3000</f>
        <v>41900</v>
      </c>
      <c r="R47" s="29"/>
      <c r="S47" s="29">
        <v>5000</v>
      </c>
      <c r="T47" s="29">
        <v>6000</v>
      </c>
      <c r="U47" s="29"/>
      <c r="V47" s="35">
        <v>4000</v>
      </c>
      <c r="W47" s="35">
        <v>8000</v>
      </c>
      <c r="X47" s="29"/>
      <c r="Y47" s="35">
        <f>(140*12)+(275*2)</f>
        <v>2230</v>
      </c>
      <c r="Z47" s="35">
        <v>8000</v>
      </c>
      <c r="AA47" s="35">
        <v>65000</v>
      </c>
      <c r="AB47" s="29">
        <v>11000</v>
      </c>
      <c r="AC47" s="29">
        <v>500</v>
      </c>
      <c r="AD47" s="35">
        <v>7000</v>
      </c>
      <c r="AE47" s="35">
        <v>1000</v>
      </c>
      <c r="AF47" s="41">
        <v>7000</v>
      </c>
      <c r="AG47" s="29">
        <v>6025</v>
      </c>
      <c r="AH47" s="41">
        <v>8000</v>
      </c>
      <c r="AI47" s="35">
        <v>500</v>
      </c>
      <c r="AJ47" s="29">
        <v>204500</v>
      </c>
      <c r="AK47" s="29"/>
      <c r="AL47" s="29"/>
      <c r="AM47" s="29"/>
      <c r="AN47" s="29"/>
    </row>
    <row r="48" spans="1:40" ht="15.75" customHeight="1">
      <c r="A48" s="29">
        <v>4300</v>
      </c>
      <c r="B48" s="30" t="s">
        <v>104</v>
      </c>
      <c r="C48" s="32">
        <f>SUM(D48:AJ48)</f>
        <v>14000</v>
      </c>
      <c r="E48" s="35"/>
      <c r="F48" s="35"/>
      <c r="G48" s="35">
        <v>500</v>
      </c>
      <c r="H48" s="35"/>
      <c r="I48" s="35"/>
      <c r="J48" s="35"/>
      <c r="K48" s="35"/>
      <c r="L48" s="35"/>
      <c r="M48" s="35">
        <v>500</v>
      </c>
      <c r="N48" s="35"/>
      <c r="O48" s="29"/>
      <c r="P48" s="39">
        <v>1000</v>
      </c>
      <c r="Q48" s="35"/>
      <c r="R48" s="29"/>
      <c r="S48" s="29"/>
      <c r="T48" s="29"/>
      <c r="U48" s="29"/>
      <c r="V48" s="35"/>
      <c r="W48" s="35">
        <v>5000</v>
      </c>
      <c r="X48" s="29"/>
      <c r="Y48" s="35"/>
      <c r="Z48" s="35"/>
      <c r="AA48" s="35">
        <v>2000</v>
      </c>
      <c r="AB48" s="29"/>
      <c r="AC48" s="29"/>
      <c r="AD48" s="35">
        <v>4000</v>
      </c>
      <c r="AE48" s="35"/>
      <c r="AF48" s="41">
        <v>1000</v>
      </c>
      <c r="AG48" s="29"/>
      <c r="AH48" s="41"/>
      <c r="AI48" s="35"/>
      <c r="AJ48" s="29"/>
      <c r="AK48" s="29"/>
      <c r="AL48" s="29"/>
      <c r="AM48" s="29"/>
      <c r="AN48" s="29"/>
    </row>
    <row r="49" spans="1:40" ht="15.75" customHeight="1">
      <c r="A49" s="29">
        <v>4350</v>
      </c>
      <c r="B49" s="30" t="s">
        <v>105</v>
      </c>
      <c r="C49" s="32">
        <f>SUM(D49:AJ49)</f>
        <v>0</v>
      </c>
      <c r="D49" s="33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9"/>
      <c r="P49" s="39"/>
      <c r="Q49" s="35"/>
      <c r="R49" s="29"/>
      <c r="S49" s="29"/>
      <c r="T49" s="29"/>
      <c r="U49" s="29"/>
      <c r="V49" s="35"/>
      <c r="W49" s="35"/>
      <c r="X49" s="29"/>
      <c r="Y49" s="35"/>
      <c r="Z49" s="35"/>
      <c r="AA49" s="35"/>
      <c r="AB49" s="29"/>
      <c r="AC49" s="29"/>
      <c r="AD49" s="35"/>
      <c r="AE49" s="35"/>
      <c r="AF49" s="41"/>
      <c r="AG49" s="29"/>
      <c r="AH49" s="41"/>
      <c r="AI49" s="35"/>
      <c r="AJ49" s="29"/>
      <c r="AK49" s="29"/>
      <c r="AL49" s="29"/>
      <c r="AM49" s="29"/>
      <c r="AN49" s="29"/>
    </row>
    <row r="50" spans="1:40" ht="15.75" customHeight="1">
      <c r="A50" s="29">
        <v>4500</v>
      </c>
      <c r="B50" s="30" t="s">
        <v>106</v>
      </c>
      <c r="C50" s="32">
        <f>SUM(D50:AJ50)</f>
        <v>113000</v>
      </c>
      <c r="D50" s="33"/>
      <c r="E50" s="35"/>
      <c r="F50" s="35"/>
      <c r="G50" s="35"/>
      <c r="H50" s="35"/>
      <c r="I50" s="35">
        <v>18000</v>
      </c>
      <c r="J50" s="35">
        <v>56000</v>
      </c>
      <c r="K50" s="35"/>
      <c r="L50" s="35">
        <v>7000</v>
      </c>
      <c r="M50" s="35"/>
      <c r="N50" s="35"/>
      <c r="O50" s="29"/>
      <c r="P50" s="39"/>
      <c r="Q50" s="35"/>
      <c r="R50" s="29"/>
      <c r="S50" s="29"/>
      <c r="T50" s="29"/>
      <c r="U50" s="29"/>
      <c r="V50" s="35"/>
      <c r="W50" s="35">
        <v>30000</v>
      </c>
      <c r="X50" s="29"/>
      <c r="Y50" s="35"/>
      <c r="Z50" s="35"/>
      <c r="AA50" s="35"/>
      <c r="AB50" s="29"/>
      <c r="AC50" s="29"/>
      <c r="AD50" s="35"/>
      <c r="AE50" s="35"/>
      <c r="AF50" s="41"/>
      <c r="AG50" s="29"/>
      <c r="AH50" s="41"/>
      <c r="AI50" s="35"/>
      <c r="AJ50" s="29">
        <v>2000</v>
      </c>
      <c r="AK50" s="29"/>
      <c r="AL50" s="29"/>
      <c r="AM50" s="29"/>
      <c r="AN50" s="29"/>
    </row>
    <row r="51" spans="1:40" ht="15.75" customHeight="1">
      <c r="A51" s="29">
        <v>4510</v>
      </c>
      <c r="B51" s="30" t="s">
        <v>107</v>
      </c>
      <c r="C51" s="32">
        <f>SUM(D51:AJ51)</f>
        <v>120750</v>
      </c>
      <c r="D51" s="33"/>
      <c r="E51" s="35"/>
      <c r="F51" s="35"/>
      <c r="G51" s="35"/>
      <c r="H51" s="35">
        <v>8400</v>
      </c>
      <c r="I51" s="35"/>
      <c r="J51" s="35">
        <v>9000</v>
      </c>
      <c r="K51" s="35">
        <v>5000</v>
      </c>
      <c r="L51" s="35"/>
      <c r="M51" s="35">
        <v>3000</v>
      </c>
      <c r="N51" s="35"/>
      <c r="O51" s="29">
        <v>20000</v>
      </c>
      <c r="P51" s="39"/>
      <c r="Q51" s="35"/>
      <c r="R51" s="29"/>
      <c r="S51" s="29"/>
      <c r="T51" s="29"/>
      <c r="U51" s="29"/>
      <c r="V51" s="35"/>
      <c r="W51" s="35"/>
      <c r="X51" s="29"/>
      <c r="Y51" s="35"/>
      <c r="Z51" s="35">
        <v>10000</v>
      </c>
      <c r="AA51" s="35"/>
      <c r="AB51" s="29"/>
      <c r="AC51" s="29"/>
      <c r="AD51" s="35"/>
      <c r="AE51" s="35"/>
      <c r="AF51" s="41"/>
      <c r="AG51" s="29"/>
      <c r="AH51" s="41"/>
      <c r="AI51" s="35"/>
      <c r="AJ51" s="29">
        <v>65350</v>
      </c>
      <c r="AK51" s="29"/>
      <c r="AL51" s="29"/>
      <c r="AM51" s="29"/>
      <c r="AN51" s="29"/>
    </row>
    <row r="52" spans="1:40" ht="15.75" customHeight="1">
      <c r="A52" s="29">
        <v>4590</v>
      </c>
      <c r="B52" s="30" t="s">
        <v>108</v>
      </c>
      <c r="C52" s="32">
        <f>SUM(D52:AJ52)</f>
        <v>0</v>
      </c>
      <c r="D52" s="33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29"/>
      <c r="P52" s="39"/>
      <c r="Q52" s="35"/>
      <c r="R52" s="29"/>
      <c r="S52" s="29"/>
      <c r="T52" s="29"/>
      <c r="U52" s="29"/>
      <c r="V52" s="35"/>
      <c r="W52" s="35"/>
      <c r="X52" s="29"/>
      <c r="Y52" s="35"/>
      <c r="Z52" s="35"/>
      <c r="AA52" s="35"/>
      <c r="AB52" s="29"/>
      <c r="AC52" s="29"/>
      <c r="AD52" s="35"/>
      <c r="AE52" s="35"/>
      <c r="AF52" s="41"/>
      <c r="AG52" s="29"/>
      <c r="AH52" s="29"/>
      <c r="AI52" s="35"/>
      <c r="AJ52" s="29"/>
      <c r="AK52" s="29"/>
      <c r="AL52" s="29"/>
      <c r="AM52" s="29"/>
      <c r="AN52" s="29"/>
    </row>
    <row r="53" spans="1:40" ht="15.75" customHeight="1">
      <c r="A53" s="29">
        <v>4700</v>
      </c>
      <c r="B53" s="30" t="s">
        <v>109</v>
      </c>
      <c r="C53" s="32">
        <f>SUM(D53:AJ53)</f>
        <v>533500</v>
      </c>
      <c r="D53" s="33"/>
      <c r="E53" s="35">
        <v>5500</v>
      </c>
      <c r="F53" s="35"/>
      <c r="G53" s="35"/>
      <c r="H53" s="29"/>
      <c r="I53" s="35"/>
      <c r="J53" s="35">
        <v>81000</v>
      </c>
      <c r="K53" s="35"/>
      <c r="L53" s="35"/>
      <c r="M53" s="35"/>
      <c r="N53" s="35">
        <v>120000</v>
      </c>
      <c r="O53" s="29"/>
      <c r="P53" s="39">
        <v>65000</v>
      </c>
      <c r="Q53" s="35">
        <v>28000</v>
      </c>
      <c r="R53" s="29"/>
      <c r="S53" s="29"/>
      <c r="T53" s="29"/>
      <c r="U53" s="29"/>
      <c r="V53" s="35">
        <v>8000</v>
      </c>
      <c r="W53" s="35"/>
      <c r="X53" s="29"/>
      <c r="Y53" s="35"/>
      <c r="Z53" s="35"/>
      <c r="AA53" s="35">
        <v>20000</v>
      </c>
      <c r="AB53" s="29">
        <v>20000</v>
      </c>
      <c r="AC53" s="29"/>
      <c r="AD53" s="35">
        <v>10000</v>
      </c>
      <c r="AE53" s="35"/>
      <c r="AF53" s="29"/>
      <c r="AG53" s="29"/>
      <c r="AH53" s="39">
        <v>121000</v>
      </c>
      <c r="AI53" s="35"/>
      <c r="AJ53" s="29">
        <v>55000</v>
      </c>
      <c r="AK53" s="29"/>
      <c r="AL53" s="29"/>
      <c r="AM53" s="29"/>
      <c r="AN53" s="29"/>
    </row>
    <row r="54" spans="1:40" ht="15.75" customHeight="1">
      <c r="A54" s="29">
        <v>4800</v>
      </c>
      <c r="B54" s="30" t="s">
        <v>110</v>
      </c>
      <c r="C54" s="32">
        <f>SUM(D54:AJ54)</f>
        <v>990200</v>
      </c>
      <c r="D54" s="50">
        <v>200000</v>
      </c>
      <c r="E54" s="35"/>
      <c r="F54" s="35">
        <v>15000</v>
      </c>
      <c r="G54" s="35"/>
      <c r="H54" s="35"/>
      <c r="I54" s="35">
        <v>1500</v>
      </c>
      <c r="J54" s="35">
        <v>15000</v>
      </c>
      <c r="K54" s="35">
        <v>30000</v>
      </c>
      <c r="L54" s="35"/>
      <c r="M54" s="35"/>
      <c r="N54" s="35"/>
      <c r="O54" s="29">
        <v>240000</v>
      </c>
      <c r="P54" s="39">
        <v>170000</v>
      </c>
      <c r="Q54" s="35">
        <v>6800</v>
      </c>
      <c r="R54" s="29"/>
      <c r="S54" s="29"/>
      <c r="T54" s="29"/>
      <c r="U54" s="29"/>
      <c r="V54" s="35">
        <v>38500</v>
      </c>
      <c r="W54" s="35">
        <v>50000</v>
      </c>
      <c r="X54" s="35">
        <v>6500</v>
      </c>
      <c r="Y54" s="35"/>
      <c r="Z54" s="35">
        <v>50000</v>
      </c>
      <c r="AA54" s="35">
        <v>15000</v>
      </c>
      <c r="AB54" s="29">
        <v>7000</v>
      </c>
      <c r="AC54" s="29">
        <v>40000</v>
      </c>
      <c r="AD54" s="35">
        <v>10000</v>
      </c>
      <c r="AE54" s="35">
        <v>13000</v>
      </c>
      <c r="AF54" s="41">
        <v>45000</v>
      </c>
      <c r="AG54" s="29"/>
      <c r="AH54" s="41">
        <v>3000</v>
      </c>
      <c r="AI54" s="35">
        <v>9000</v>
      </c>
      <c r="AJ54" s="29">
        <v>24900</v>
      </c>
      <c r="AK54" s="29"/>
      <c r="AL54" s="29"/>
      <c r="AM54" s="29"/>
      <c r="AN54" s="29"/>
    </row>
    <row r="55" spans="1:40" ht="15.75" customHeight="1">
      <c r="A55" s="29">
        <v>4990</v>
      </c>
      <c r="B55" s="30" t="s">
        <v>111</v>
      </c>
      <c r="C55" s="32">
        <f>SUM(D55:AJ55)</f>
        <v>326510</v>
      </c>
      <c r="E55" s="35">
        <v>4500</v>
      </c>
      <c r="F55" s="35">
        <v>7000</v>
      </c>
      <c r="G55" s="35">
        <v>2000</v>
      </c>
      <c r="H55" s="35">
        <v>3000</v>
      </c>
      <c r="I55" s="35"/>
      <c r="J55" s="35">
        <v>90000</v>
      </c>
      <c r="K55" s="35">
        <v>1000</v>
      </c>
      <c r="L55" s="35">
        <v>3000</v>
      </c>
      <c r="M55" s="35">
        <v>8500</v>
      </c>
      <c r="N55" s="35">
        <v>8500</v>
      </c>
      <c r="O55" s="29">
        <v>32500</v>
      </c>
      <c r="P55" s="39"/>
      <c r="Q55" s="35"/>
      <c r="R55" s="29"/>
      <c r="S55" s="29">
        <v>3000</v>
      </c>
      <c r="T55" s="29">
        <v>2000</v>
      </c>
      <c r="U55" s="29"/>
      <c r="V55" s="35">
        <v>1000</v>
      </c>
      <c r="W55" s="35">
        <v>15000</v>
      </c>
      <c r="X55" s="35">
        <v>2500</v>
      </c>
      <c r="Y55" s="35"/>
      <c r="Z55" s="35">
        <v>14000</v>
      </c>
      <c r="AA55" s="35">
        <v>3000</v>
      </c>
      <c r="AB55" s="29">
        <v>25000</v>
      </c>
      <c r="AC55" s="29">
        <v>6000</v>
      </c>
      <c r="AD55" s="35">
        <v>15000</v>
      </c>
      <c r="AE55" s="35">
        <v>7000</v>
      </c>
      <c r="AF55" s="41">
        <v>15000</v>
      </c>
      <c r="AG55" s="29"/>
      <c r="AH55" s="41">
        <v>6000</v>
      </c>
      <c r="AI55" s="35"/>
      <c r="AJ55" s="29">
        <v>52010</v>
      </c>
      <c r="AK55" s="29"/>
      <c r="AL55" s="29"/>
      <c r="AM55" s="29"/>
      <c r="AN55" s="29"/>
    </row>
    <row r="56" spans="1:40" ht="15.75" customHeight="1">
      <c r="A56" s="29">
        <v>6010</v>
      </c>
      <c r="B56" s="30" t="s">
        <v>96</v>
      </c>
      <c r="C56" s="32">
        <f>SUM(D56:AJ56)</f>
        <v>24756</v>
      </c>
      <c r="D56" s="33"/>
      <c r="E56" s="35"/>
      <c r="F56" s="35"/>
      <c r="G56" s="35"/>
      <c r="H56" s="29"/>
      <c r="I56" s="35"/>
      <c r="J56" s="35"/>
      <c r="K56" s="35">
        <v>24756</v>
      </c>
      <c r="L56" s="35"/>
      <c r="M56" s="35"/>
      <c r="N56" s="35"/>
      <c r="O56" s="29"/>
      <c r="P56" s="39"/>
      <c r="Q56" s="35"/>
      <c r="R56" s="29"/>
      <c r="S56" s="29"/>
      <c r="T56" s="29"/>
      <c r="U56" s="29"/>
      <c r="V56" s="35"/>
      <c r="W56" s="35"/>
      <c r="X56" s="29"/>
      <c r="Y56" s="35"/>
      <c r="Z56" s="35"/>
      <c r="AA56" s="35"/>
      <c r="AB56" s="29"/>
      <c r="AC56" s="29"/>
      <c r="AD56" s="35"/>
      <c r="AE56" s="35"/>
      <c r="AF56" s="29"/>
      <c r="AG56" s="29"/>
      <c r="AH56" s="41"/>
      <c r="AI56" s="35"/>
      <c r="AJ56" s="29"/>
      <c r="AK56" s="29"/>
      <c r="AL56" s="29"/>
      <c r="AM56" s="29"/>
      <c r="AN56" s="29"/>
    </row>
    <row r="57" spans="1:40" ht="15.75" customHeight="1">
      <c r="A57" s="29">
        <v>6015</v>
      </c>
      <c r="B57" s="30" t="s">
        <v>112</v>
      </c>
      <c r="C57" s="32">
        <f>SUM(D57:AJ57)</f>
        <v>0</v>
      </c>
      <c r="D57" s="33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29"/>
      <c r="P57" s="39"/>
      <c r="Q57" s="35"/>
      <c r="R57" s="29"/>
      <c r="S57" s="29"/>
      <c r="T57" s="29"/>
      <c r="U57" s="29"/>
      <c r="V57" s="35"/>
      <c r="W57" s="35"/>
      <c r="X57" s="29"/>
      <c r="Y57" s="35"/>
      <c r="Z57" s="35"/>
      <c r="AA57" s="35"/>
      <c r="AB57" s="29"/>
      <c r="AC57" s="29"/>
      <c r="AD57" s="35"/>
      <c r="AE57" s="35"/>
      <c r="AF57" s="29"/>
      <c r="AG57" s="29"/>
      <c r="AH57" s="29"/>
      <c r="AI57" s="35"/>
      <c r="AJ57" s="29"/>
      <c r="AK57" s="29"/>
      <c r="AL57" s="29"/>
      <c r="AM57" s="29"/>
      <c r="AN57" s="29"/>
    </row>
    <row r="58" spans="1:40" ht="15.75" customHeight="1">
      <c r="A58" s="29">
        <v>6100</v>
      </c>
      <c r="B58" s="30" t="s">
        <v>113</v>
      </c>
      <c r="C58" s="32">
        <f>SUM(D58:AJ58)</f>
        <v>0</v>
      </c>
      <c r="D58" s="33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29"/>
      <c r="P58" s="39"/>
      <c r="Q58" s="35"/>
      <c r="R58" s="29"/>
      <c r="S58" s="29"/>
      <c r="T58" s="29"/>
      <c r="U58" s="29"/>
      <c r="V58" s="35"/>
      <c r="W58" s="35"/>
      <c r="X58" s="29"/>
      <c r="Y58" s="35"/>
      <c r="Z58" s="35"/>
      <c r="AA58" s="35"/>
      <c r="AB58" s="29"/>
      <c r="AC58" s="29"/>
      <c r="AD58" s="35"/>
      <c r="AE58" s="35"/>
      <c r="AF58" s="29"/>
      <c r="AG58" s="29"/>
      <c r="AH58" s="29"/>
      <c r="AI58" s="35"/>
      <c r="AJ58" s="29"/>
      <c r="AK58" s="29"/>
      <c r="AL58" s="29"/>
      <c r="AM58" s="29"/>
      <c r="AN58" s="29"/>
    </row>
    <row r="59" spans="1:40" ht="15.75" customHeight="1">
      <c r="A59" s="29">
        <v>6110</v>
      </c>
      <c r="B59" s="30" t="s">
        <v>114</v>
      </c>
      <c r="C59" s="32">
        <f>SUM(D59:AJ59)</f>
        <v>5000</v>
      </c>
      <c r="D59" s="33"/>
      <c r="E59" s="35"/>
      <c r="F59" s="35"/>
      <c r="G59" s="35"/>
      <c r="H59" s="35">
        <v>0</v>
      </c>
      <c r="I59" s="35"/>
      <c r="J59" s="35"/>
      <c r="K59" s="35"/>
      <c r="L59" s="35"/>
      <c r="M59" s="35"/>
      <c r="N59" s="35"/>
      <c r="O59" s="29"/>
      <c r="P59" s="39"/>
      <c r="Q59" s="35"/>
      <c r="R59" s="29"/>
      <c r="S59" s="29"/>
      <c r="T59" s="29"/>
      <c r="U59" s="29"/>
      <c r="V59" s="35">
        <v>2000</v>
      </c>
      <c r="W59" s="35"/>
      <c r="X59" s="29"/>
      <c r="Y59" s="35"/>
      <c r="Z59" s="35"/>
      <c r="AA59" s="35"/>
      <c r="AB59" s="29"/>
      <c r="AC59" s="29"/>
      <c r="AD59" s="35">
        <v>1000</v>
      </c>
      <c r="AE59" s="35"/>
      <c r="AF59" s="29"/>
      <c r="AG59" s="29"/>
      <c r="AH59" s="29"/>
      <c r="AI59" s="35">
        <v>2000</v>
      </c>
      <c r="AJ59" s="29"/>
      <c r="AK59" s="29"/>
      <c r="AL59" s="29"/>
      <c r="AM59" s="29"/>
      <c r="AN59" s="29"/>
    </row>
    <row r="60" spans="1:40" ht="15.75" customHeight="1">
      <c r="A60" s="29">
        <v>6300</v>
      </c>
      <c r="B60" s="30" t="s">
        <v>115</v>
      </c>
      <c r="C60" s="32">
        <f>SUM(D60:AJ60)</f>
        <v>43000</v>
      </c>
      <c r="D60" s="33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29">
        <v>11000</v>
      </c>
      <c r="P60" s="39">
        <v>20000</v>
      </c>
      <c r="Q60" s="35"/>
      <c r="R60" s="29"/>
      <c r="S60" s="29"/>
      <c r="T60" s="29"/>
      <c r="U60" s="29"/>
      <c r="V60" s="35">
        <v>1000</v>
      </c>
      <c r="W60" s="35"/>
      <c r="X60" s="29"/>
      <c r="Y60" s="35"/>
      <c r="Z60" s="35"/>
      <c r="AA60" s="35"/>
      <c r="AB60" s="29"/>
      <c r="AC60" s="29"/>
      <c r="AD60" s="35"/>
      <c r="AE60" s="35"/>
      <c r="AF60" s="41">
        <v>10000</v>
      </c>
      <c r="AG60" s="29"/>
      <c r="AH60" s="41">
        <v>1000</v>
      </c>
      <c r="AI60" s="35"/>
      <c r="AJ60" s="29"/>
      <c r="AK60" s="29"/>
      <c r="AL60" s="29"/>
      <c r="AM60" s="29"/>
      <c r="AN60" s="29"/>
    </row>
    <row r="61" spans="1:40" ht="15.75" customHeight="1">
      <c r="A61" s="29">
        <v>6320</v>
      </c>
      <c r="B61" s="30" t="s">
        <v>116</v>
      </c>
      <c r="C61" s="32">
        <f>SUM(D61:AJ61)</f>
        <v>0</v>
      </c>
      <c r="D61" s="33"/>
      <c r="E61" s="35"/>
      <c r="F61" s="35"/>
      <c r="G61" s="35"/>
      <c r="H61" s="29"/>
      <c r="I61" s="35"/>
      <c r="J61" s="35"/>
      <c r="K61" s="35"/>
      <c r="L61" s="35"/>
      <c r="M61" s="35"/>
      <c r="N61" s="35"/>
      <c r="O61" s="29"/>
      <c r="P61" s="39"/>
      <c r="Q61" s="35"/>
      <c r="R61" s="29"/>
      <c r="S61" s="29"/>
      <c r="T61" s="29"/>
      <c r="U61" s="29"/>
      <c r="V61" s="35"/>
      <c r="W61" s="35"/>
      <c r="X61" s="29"/>
      <c r="Y61" s="35"/>
      <c r="Z61" s="35"/>
      <c r="AA61" s="35"/>
      <c r="AB61" s="29"/>
      <c r="AC61" s="29"/>
      <c r="AD61" s="35"/>
      <c r="AE61" s="35"/>
      <c r="AF61" s="29"/>
      <c r="AG61" s="29"/>
      <c r="AH61" s="29"/>
      <c r="AI61" s="35"/>
      <c r="AJ61" s="29"/>
      <c r="AK61" s="29"/>
      <c r="AL61" s="29"/>
      <c r="AM61" s="29"/>
      <c r="AN61" s="29"/>
    </row>
    <row r="62" spans="1:40" ht="15.75" customHeight="1">
      <c r="A62" s="29">
        <v>6340</v>
      </c>
      <c r="B62" s="30" t="s">
        <v>117</v>
      </c>
      <c r="C62" s="32">
        <f>SUM(D62:AJ62)</f>
        <v>0</v>
      </c>
      <c r="D62" s="33"/>
      <c r="E62" s="35"/>
      <c r="F62" s="35"/>
      <c r="G62" s="35"/>
      <c r="H62" s="29"/>
      <c r="I62" s="35"/>
      <c r="J62" s="35"/>
      <c r="K62" s="35"/>
      <c r="L62" s="35"/>
      <c r="M62" s="35"/>
      <c r="N62" s="35"/>
      <c r="O62" s="29"/>
      <c r="P62" s="39"/>
      <c r="Q62" s="35"/>
      <c r="R62" s="29"/>
      <c r="S62" s="29"/>
      <c r="T62" s="29"/>
      <c r="U62" s="29"/>
      <c r="V62" s="35"/>
      <c r="W62" s="35"/>
      <c r="X62" s="29"/>
      <c r="Y62" s="35"/>
      <c r="Z62" s="35"/>
      <c r="AA62" s="35"/>
      <c r="AB62" s="29"/>
      <c r="AC62" s="29"/>
      <c r="AD62" s="35"/>
      <c r="AE62" s="35"/>
      <c r="AF62" s="29"/>
      <c r="AG62" s="29"/>
      <c r="AH62" s="29"/>
      <c r="AI62" s="35"/>
      <c r="AJ62" s="29"/>
      <c r="AK62" s="29"/>
      <c r="AL62" s="29"/>
      <c r="AM62" s="29"/>
      <c r="AN62" s="29"/>
    </row>
    <row r="63" spans="1:40" ht="15.75" customHeight="1">
      <c r="A63" s="29">
        <v>6360</v>
      </c>
      <c r="B63" s="30" t="s">
        <v>118</v>
      </c>
      <c r="C63" s="32">
        <f>SUM(D63:AJ63)</f>
        <v>500</v>
      </c>
      <c r="D63" s="33"/>
      <c r="E63" s="35">
        <v>500</v>
      </c>
      <c r="F63" s="35"/>
      <c r="G63" s="35"/>
      <c r="H63" s="29"/>
      <c r="I63" s="35"/>
      <c r="J63" s="35"/>
      <c r="K63" s="35"/>
      <c r="L63" s="35"/>
      <c r="M63" s="35"/>
      <c r="N63" s="35"/>
      <c r="O63" s="29"/>
      <c r="P63" s="39"/>
      <c r="Q63" s="35"/>
      <c r="R63" s="29"/>
      <c r="S63" s="29"/>
      <c r="T63" s="29"/>
      <c r="U63" s="29"/>
      <c r="V63" s="35"/>
      <c r="W63" s="35"/>
      <c r="X63" s="29"/>
      <c r="Y63" s="35"/>
      <c r="Z63" s="35"/>
      <c r="AA63" s="35"/>
      <c r="AB63" s="29"/>
      <c r="AC63" s="29"/>
      <c r="AD63" s="35"/>
      <c r="AE63" s="35"/>
      <c r="AF63" s="29"/>
      <c r="AG63" s="29"/>
      <c r="AH63" s="29"/>
      <c r="AI63" s="35"/>
      <c r="AJ63" s="29"/>
      <c r="AK63" s="29"/>
      <c r="AL63" s="29"/>
      <c r="AM63" s="29"/>
      <c r="AN63" s="29"/>
    </row>
    <row r="64" spans="1:40" ht="15.75" customHeight="1">
      <c r="A64" s="29">
        <v>6390</v>
      </c>
      <c r="B64" s="30" t="s">
        <v>119</v>
      </c>
      <c r="C64" s="32">
        <f>SUM(D64:AJ64)</f>
        <v>0</v>
      </c>
      <c r="D64" s="33"/>
      <c r="E64" s="35"/>
      <c r="F64" s="35"/>
      <c r="G64" s="35"/>
      <c r="H64" s="29"/>
      <c r="I64" s="35"/>
      <c r="J64" s="35"/>
      <c r="K64" s="35"/>
      <c r="L64" s="35"/>
      <c r="M64" s="35"/>
      <c r="N64" s="35"/>
      <c r="O64" s="29"/>
      <c r="P64" s="39"/>
      <c r="Q64" s="35"/>
      <c r="R64" s="29"/>
      <c r="S64" s="29"/>
      <c r="T64" s="29"/>
      <c r="U64" s="29"/>
      <c r="V64" s="35"/>
      <c r="W64" s="35"/>
      <c r="X64" s="29"/>
      <c r="Y64" s="35"/>
      <c r="Z64" s="35"/>
      <c r="AA64" s="35"/>
      <c r="AB64" s="29"/>
      <c r="AC64" s="29"/>
      <c r="AD64" s="35"/>
      <c r="AE64" s="35"/>
      <c r="AF64" s="29"/>
      <c r="AG64" s="29"/>
      <c r="AH64" s="29"/>
      <c r="AI64" s="35"/>
      <c r="AJ64" s="29"/>
      <c r="AK64" s="29"/>
      <c r="AL64" s="29"/>
      <c r="AM64" s="29"/>
      <c r="AN64" s="29"/>
    </row>
    <row r="65" spans="1:40" ht="15.75" customHeight="1">
      <c r="A65" s="29">
        <v>6420</v>
      </c>
      <c r="B65" s="30" t="s">
        <v>120</v>
      </c>
      <c r="C65" s="32">
        <f>SUM(D65:AJ65)</f>
        <v>0</v>
      </c>
      <c r="D65" s="33"/>
      <c r="E65" s="35"/>
      <c r="F65" s="35"/>
      <c r="G65" s="35"/>
      <c r="H65" s="29"/>
      <c r="I65" s="35"/>
      <c r="J65" s="35"/>
      <c r="K65" s="35"/>
      <c r="L65" s="35"/>
      <c r="M65" s="35"/>
      <c r="N65" s="35"/>
      <c r="O65" s="29"/>
      <c r="P65" s="39"/>
      <c r="Q65" s="35"/>
      <c r="R65" s="29"/>
      <c r="S65" s="29"/>
      <c r="T65" s="29"/>
      <c r="U65" s="29"/>
      <c r="V65" s="35"/>
      <c r="W65" s="35"/>
      <c r="X65" s="29"/>
      <c r="Y65" s="35"/>
      <c r="Z65" s="35"/>
      <c r="AA65" s="35"/>
      <c r="AB65" s="29"/>
      <c r="AC65" s="29"/>
      <c r="AD65" s="35"/>
      <c r="AE65" s="35"/>
      <c r="AF65" s="29"/>
      <c r="AG65" s="29"/>
      <c r="AH65" s="29"/>
      <c r="AI65" s="35"/>
      <c r="AJ65" s="29"/>
      <c r="AK65" s="29"/>
      <c r="AL65" s="29"/>
      <c r="AM65" s="29"/>
      <c r="AN65" s="29"/>
    </row>
    <row r="66" spans="1:40" ht="15.75" customHeight="1">
      <c r="A66" s="29">
        <v>6440</v>
      </c>
      <c r="B66" s="30" t="s">
        <v>121</v>
      </c>
      <c r="C66" s="32">
        <f>SUM(D66:AJ66)</f>
        <v>83000</v>
      </c>
      <c r="D66" s="33"/>
      <c r="E66" s="35"/>
      <c r="F66" s="35"/>
      <c r="G66" s="35"/>
      <c r="H66" s="29"/>
      <c r="I66" s="35"/>
      <c r="J66" s="35"/>
      <c r="K66" s="35">
        <v>45000</v>
      </c>
      <c r="L66" s="35"/>
      <c r="M66" s="35"/>
      <c r="N66" s="35"/>
      <c r="O66" s="29">
        <v>9000</v>
      </c>
      <c r="P66" s="39"/>
      <c r="Q66" s="35"/>
      <c r="R66" s="29"/>
      <c r="S66" s="29"/>
      <c r="T66" s="29"/>
      <c r="U66" s="29"/>
      <c r="V66" s="35"/>
      <c r="W66" s="35">
        <v>25000</v>
      </c>
      <c r="X66" s="29"/>
      <c r="Y66" s="35"/>
      <c r="Z66" s="35"/>
      <c r="AA66" s="35"/>
      <c r="AB66" s="29"/>
      <c r="AC66" s="29">
        <v>4000</v>
      </c>
      <c r="AD66" s="35"/>
      <c r="AE66" s="35"/>
      <c r="AF66" s="29"/>
      <c r="AG66" s="29"/>
      <c r="AH66" s="29"/>
      <c r="AI66" s="35"/>
      <c r="AJ66" s="29"/>
      <c r="AK66" s="29"/>
      <c r="AL66" s="29"/>
      <c r="AM66" s="29"/>
      <c r="AN66" s="29"/>
    </row>
    <row r="67" spans="1:40" ht="15.75" customHeight="1">
      <c r="A67" s="29">
        <v>6490</v>
      </c>
      <c r="B67" s="30" t="s">
        <v>122</v>
      </c>
      <c r="C67" s="32">
        <f>SUM(D67:AJ67)</f>
        <v>0</v>
      </c>
      <c r="D67" s="33"/>
      <c r="E67" s="35"/>
      <c r="F67" s="35"/>
      <c r="G67" s="35"/>
      <c r="H67" s="29"/>
      <c r="I67" s="35"/>
      <c r="J67" s="35"/>
      <c r="K67" s="35"/>
      <c r="L67" s="35"/>
      <c r="M67" s="35"/>
      <c r="N67" s="35"/>
      <c r="O67" s="29"/>
      <c r="P67" s="39"/>
      <c r="Q67" s="35"/>
      <c r="R67" s="35"/>
      <c r="S67" s="29"/>
      <c r="T67" s="29"/>
      <c r="U67" s="29"/>
      <c r="V67" s="35"/>
      <c r="W67" s="35"/>
      <c r="X67" s="29"/>
      <c r="Y67" s="35"/>
      <c r="Z67" s="35"/>
      <c r="AA67" s="35"/>
      <c r="AB67" s="29"/>
      <c r="AC67" s="29"/>
      <c r="AD67" s="35"/>
      <c r="AE67" s="35"/>
      <c r="AF67" s="29"/>
      <c r="AG67" s="29"/>
      <c r="AH67" s="29"/>
      <c r="AI67" s="35"/>
      <c r="AJ67" s="29"/>
      <c r="AK67" s="29"/>
      <c r="AL67" s="29"/>
      <c r="AM67" s="29"/>
      <c r="AN67" s="29"/>
    </row>
    <row r="68" spans="1:40" ht="15.75" customHeight="1">
      <c r="A68" s="29">
        <v>6540</v>
      </c>
      <c r="B68" s="30" t="s">
        <v>123</v>
      </c>
      <c r="C68" s="32">
        <f>SUM(D68:AJ68)</f>
        <v>0</v>
      </c>
      <c r="D68" s="33"/>
      <c r="E68" s="35"/>
      <c r="F68" s="35"/>
      <c r="G68" s="35"/>
      <c r="H68" s="29"/>
      <c r="I68" s="35"/>
      <c r="J68" s="35"/>
      <c r="K68" s="35"/>
      <c r="L68" s="35"/>
      <c r="M68" s="35"/>
      <c r="N68" s="35"/>
      <c r="O68" s="29"/>
      <c r="P68" s="39"/>
      <c r="Q68" s="35"/>
      <c r="R68" s="35"/>
      <c r="S68" s="29"/>
      <c r="T68" s="29"/>
      <c r="U68" s="29"/>
      <c r="V68" s="35"/>
      <c r="W68" s="35"/>
      <c r="X68" s="29"/>
      <c r="Y68" s="35"/>
      <c r="Z68" s="35"/>
      <c r="AA68" s="35"/>
      <c r="AB68" s="29"/>
      <c r="AC68" s="29"/>
      <c r="AD68" s="35"/>
      <c r="AE68" s="35"/>
      <c r="AF68" s="29"/>
      <c r="AG68" s="29"/>
      <c r="AH68" s="29"/>
      <c r="AI68" s="35"/>
      <c r="AJ68" s="29"/>
      <c r="AK68" s="29"/>
      <c r="AL68" s="29"/>
      <c r="AM68" s="29"/>
      <c r="AN68" s="29"/>
    </row>
    <row r="69" spans="1:40" ht="15.75" customHeight="1">
      <c r="A69" s="29">
        <v>6550</v>
      </c>
      <c r="B69" s="30" t="s">
        <v>124</v>
      </c>
      <c r="C69" s="32">
        <f>SUM(D69:AJ69)</f>
        <v>101100</v>
      </c>
      <c r="D69" s="33"/>
      <c r="E69" s="35">
        <v>1500</v>
      </c>
      <c r="F69" s="35"/>
      <c r="G69" s="35"/>
      <c r="H69" s="29"/>
      <c r="I69" s="35"/>
      <c r="J69" s="35"/>
      <c r="K69" s="35">
        <v>35000</v>
      </c>
      <c r="L69" s="35">
        <v>1500</v>
      </c>
      <c r="M69" s="35"/>
      <c r="N69" s="35"/>
      <c r="O69" s="29"/>
      <c r="P69" s="39">
        <v>50000</v>
      </c>
      <c r="Q69" s="35"/>
      <c r="R69" s="35">
        <v>600</v>
      </c>
      <c r="S69" s="29"/>
      <c r="T69" s="29"/>
      <c r="U69" s="29"/>
      <c r="V69" s="35">
        <v>500</v>
      </c>
      <c r="W69" s="35">
        <v>10000</v>
      </c>
      <c r="X69" s="29"/>
      <c r="Y69" s="35"/>
      <c r="Z69" s="35">
        <v>2000</v>
      </c>
      <c r="AA69" s="35"/>
      <c r="AB69" s="29"/>
      <c r="AC69" s="29"/>
      <c r="AD69" s="35"/>
      <c r="AE69" s="35"/>
      <c r="AF69" s="29"/>
      <c r="AG69" s="29"/>
      <c r="AH69" s="29"/>
      <c r="AI69" s="35"/>
      <c r="AJ69" s="29"/>
      <c r="AK69" s="29"/>
      <c r="AL69" s="29"/>
      <c r="AM69" s="29"/>
      <c r="AN69" s="29"/>
    </row>
    <row r="70" spans="1:40" ht="15.75" customHeight="1">
      <c r="A70" s="29">
        <v>6570</v>
      </c>
      <c r="B70" s="30" t="s">
        <v>125</v>
      </c>
      <c r="C70" s="32">
        <f>SUM(D70:AJ70)</f>
        <v>0</v>
      </c>
      <c r="D70" s="33"/>
      <c r="E70" s="35"/>
      <c r="F70" s="35"/>
      <c r="G70" s="29"/>
      <c r="H70" s="29"/>
      <c r="I70" s="35"/>
      <c r="J70" s="35"/>
      <c r="K70" s="35"/>
      <c r="L70" s="35"/>
      <c r="M70" s="35"/>
      <c r="N70" s="35"/>
      <c r="O70" s="29"/>
      <c r="P70" s="39"/>
      <c r="Q70" s="35"/>
      <c r="R70" s="35"/>
      <c r="S70" s="29"/>
      <c r="T70" s="29"/>
      <c r="U70" s="29"/>
      <c r="V70" s="35"/>
      <c r="W70" s="35"/>
      <c r="X70" s="29"/>
      <c r="Y70" s="35"/>
      <c r="Z70" s="35"/>
      <c r="AA70" s="35"/>
      <c r="AB70" s="29"/>
      <c r="AC70" s="29"/>
      <c r="AD70" s="35"/>
      <c r="AE70" s="35"/>
      <c r="AF70" s="29"/>
      <c r="AG70" s="29"/>
      <c r="AH70" s="29"/>
      <c r="AI70" s="35"/>
      <c r="AJ70" s="29"/>
      <c r="AK70" s="29"/>
      <c r="AL70" s="29"/>
      <c r="AM70" s="29"/>
      <c r="AN70" s="29"/>
    </row>
    <row r="71" spans="1:40" ht="15.75" customHeight="1">
      <c r="A71" s="29" t="s">
        <v>126</v>
      </c>
      <c r="B71" s="30" t="s">
        <v>127</v>
      </c>
      <c r="C71" s="32">
        <f>SUM(D71:AJ71)</f>
        <v>200</v>
      </c>
      <c r="D71" s="33"/>
      <c r="E71" s="35"/>
      <c r="F71" s="35"/>
      <c r="G71" s="29"/>
      <c r="H71" s="29"/>
      <c r="I71" s="35"/>
      <c r="J71" s="35"/>
      <c r="K71" s="35"/>
      <c r="L71" s="35"/>
      <c r="M71" s="35"/>
      <c r="N71" s="35"/>
      <c r="O71" s="29"/>
      <c r="P71" s="39"/>
      <c r="Q71" s="35"/>
      <c r="R71" s="35">
        <v>200</v>
      </c>
      <c r="S71" s="29"/>
      <c r="T71" s="29"/>
      <c r="U71" s="29"/>
      <c r="V71" s="35"/>
      <c r="W71" s="35"/>
      <c r="X71" s="29"/>
      <c r="Y71" s="35"/>
      <c r="Z71" s="35"/>
      <c r="AA71" s="35"/>
      <c r="AB71" s="29"/>
      <c r="AC71" s="29"/>
      <c r="AD71" s="35"/>
      <c r="AE71" s="35"/>
      <c r="AF71" s="29"/>
      <c r="AG71" s="29"/>
      <c r="AH71" s="29"/>
      <c r="AI71" s="35"/>
      <c r="AJ71" s="29"/>
      <c r="AK71" s="29"/>
      <c r="AL71" s="29"/>
      <c r="AM71" s="29"/>
      <c r="AN71" s="29"/>
    </row>
    <row r="72" spans="1:40" ht="15.75" customHeight="1">
      <c r="A72" s="29">
        <v>6620</v>
      </c>
      <c r="B72" s="30" t="s">
        <v>128</v>
      </c>
      <c r="C72" s="32">
        <f>SUM(D72:AJ72)</f>
        <v>21000</v>
      </c>
      <c r="D72" s="33"/>
      <c r="E72" s="35">
        <v>1000</v>
      </c>
      <c r="F72" s="35"/>
      <c r="G72" s="29"/>
      <c r="H72" s="29"/>
      <c r="I72" s="35"/>
      <c r="J72" s="35"/>
      <c r="K72" s="35">
        <v>10000</v>
      </c>
      <c r="L72" s="35"/>
      <c r="M72" s="35"/>
      <c r="N72" s="35"/>
      <c r="O72" s="29"/>
      <c r="P72" s="39"/>
      <c r="Q72" s="35"/>
      <c r="R72" s="35"/>
      <c r="S72" s="29"/>
      <c r="T72" s="29"/>
      <c r="U72" s="29"/>
      <c r="V72" s="35"/>
      <c r="W72" s="35">
        <v>10000</v>
      </c>
      <c r="X72" s="29"/>
      <c r="Y72" s="35"/>
      <c r="Z72" s="35"/>
      <c r="AA72" s="35"/>
      <c r="AB72" s="29"/>
      <c r="AC72" s="29"/>
      <c r="AD72" s="35"/>
      <c r="AE72" s="35"/>
      <c r="AF72" s="29"/>
      <c r="AG72" s="29"/>
      <c r="AH72" s="29"/>
      <c r="AI72" s="35"/>
      <c r="AJ72" s="29"/>
      <c r="AK72" s="29"/>
      <c r="AL72" s="29"/>
      <c r="AM72" s="29"/>
      <c r="AN72" s="29"/>
    </row>
    <row r="73" spans="1:40" ht="15.75" customHeight="1">
      <c r="A73" s="29">
        <v>6700</v>
      </c>
      <c r="B73" s="30" t="s">
        <v>129</v>
      </c>
      <c r="C73" s="32">
        <f>SUM(D73:AJ73)</f>
        <v>5000</v>
      </c>
      <c r="D73" s="33"/>
      <c r="E73" s="35"/>
      <c r="F73" s="35"/>
      <c r="G73" s="29"/>
      <c r="H73" s="29"/>
      <c r="I73" s="35"/>
      <c r="J73" s="35"/>
      <c r="K73" s="35"/>
      <c r="L73" s="35"/>
      <c r="M73" s="35">
        <v>5000</v>
      </c>
      <c r="N73" s="35"/>
      <c r="O73" s="29"/>
      <c r="P73" s="39"/>
      <c r="Q73" s="35"/>
      <c r="R73" s="35"/>
      <c r="S73" s="29"/>
      <c r="T73" s="29"/>
      <c r="U73" s="29"/>
      <c r="V73" s="35"/>
      <c r="W73" s="35"/>
      <c r="X73" s="29"/>
      <c r="Y73" s="35"/>
      <c r="Z73" s="35"/>
      <c r="AA73" s="35"/>
      <c r="AB73" s="29"/>
      <c r="AC73" s="29"/>
      <c r="AD73" s="35"/>
      <c r="AE73" s="35"/>
      <c r="AF73" s="29"/>
      <c r="AG73" s="29"/>
      <c r="AH73" s="29"/>
      <c r="AI73" s="35"/>
      <c r="AJ73" s="29"/>
      <c r="AK73" s="29"/>
      <c r="AL73" s="29"/>
      <c r="AM73" s="29"/>
      <c r="AN73" s="29"/>
    </row>
    <row r="74" spans="1:40" ht="15.75" customHeight="1">
      <c r="A74" s="29">
        <v>6712</v>
      </c>
      <c r="B74" s="30" t="s">
        <v>130</v>
      </c>
      <c r="C74" s="32">
        <f>SUM(D74:AJ74)</f>
        <v>0</v>
      </c>
      <c r="D74" s="33"/>
      <c r="E74" s="35"/>
      <c r="F74" s="35"/>
      <c r="G74" s="29"/>
      <c r="H74" s="29"/>
      <c r="I74" s="35"/>
      <c r="J74" s="35"/>
      <c r="K74" s="35"/>
      <c r="L74" s="35"/>
      <c r="M74" s="35"/>
      <c r="N74" s="35"/>
      <c r="O74" s="29"/>
      <c r="P74" s="39"/>
      <c r="Q74" s="35"/>
      <c r="R74" s="35"/>
      <c r="S74" s="29"/>
      <c r="T74" s="29"/>
      <c r="U74" s="29"/>
      <c r="V74" s="35"/>
      <c r="W74" s="35"/>
      <c r="X74" s="29"/>
      <c r="Y74" s="35"/>
      <c r="Z74" s="35"/>
      <c r="AA74" s="35"/>
      <c r="AB74" s="29"/>
      <c r="AC74" s="29"/>
      <c r="AD74" s="35"/>
      <c r="AE74" s="35"/>
      <c r="AF74" s="29"/>
      <c r="AG74" s="29"/>
      <c r="AH74" s="29"/>
      <c r="AI74" s="35"/>
      <c r="AJ74" s="29"/>
      <c r="AK74" s="29"/>
      <c r="AL74" s="29"/>
      <c r="AM74" s="29"/>
      <c r="AN74" s="29"/>
    </row>
    <row r="75" spans="1:40" ht="15.75" customHeight="1">
      <c r="A75" s="29">
        <v>6730</v>
      </c>
      <c r="B75" s="30" t="s">
        <v>131</v>
      </c>
      <c r="C75" s="32">
        <f>SUM(D75:AJ75)</f>
        <v>107500</v>
      </c>
      <c r="D75" s="50"/>
      <c r="E75" s="35">
        <v>1500</v>
      </c>
      <c r="F75" s="35"/>
      <c r="G75" s="29"/>
      <c r="H75" s="29"/>
      <c r="I75" s="35">
        <v>6000</v>
      </c>
      <c r="J75" s="35"/>
      <c r="K75" s="35"/>
      <c r="L75" s="35"/>
      <c r="M75" s="35"/>
      <c r="N75" s="35"/>
      <c r="O75" s="29"/>
      <c r="P75" s="39"/>
      <c r="Q75" s="35"/>
      <c r="R75" s="29"/>
      <c r="S75" s="29"/>
      <c r="T75" s="29"/>
      <c r="U75" s="29">
        <v>100000</v>
      </c>
      <c r="V75" s="35"/>
      <c r="W75" s="35"/>
      <c r="X75" s="29"/>
      <c r="Y75" s="35"/>
      <c r="Z75" s="35"/>
      <c r="AA75" s="35"/>
      <c r="AB75" s="29"/>
      <c r="AC75" s="29"/>
      <c r="AD75" s="35"/>
      <c r="AE75" s="35"/>
      <c r="AF75" s="29"/>
      <c r="AG75" s="29"/>
      <c r="AH75" s="29"/>
      <c r="AI75" s="35"/>
      <c r="AJ75" s="29"/>
      <c r="AK75" s="29"/>
      <c r="AL75" s="29"/>
      <c r="AM75" s="29"/>
      <c r="AN75" s="29"/>
    </row>
    <row r="76" spans="1:40" ht="15.75" customHeight="1">
      <c r="A76" s="29">
        <v>6790</v>
      </c>
      <c r="B76" s="30" t="s">
        <v>132</v>
      </c>
      <c r="C76" s="32">
        <f>SUM(D76:AJ76)</f>
        <v>2500</v>
      </c>
      <c r="E76" s="35"/>
      <c r="F76" s="35"/>
      <c r="G76" s="29"/>
      <c r="H76" s="29"/>
      <c r="I76" s="35"/>
      <c r="J76" s="35">
        <v>2500</v>
      </c>
      <c r="K76" s="35"/>
      <c r="L76" s="35"/>
      <c r="M76" s="35"/>
      <c r="N76" s="35"/>
      <c r="O76" s="29"/>
      <c r="P76" s="39"/>
      <c r="Q76" s="35"/>
      <c r="R76" s="29"/>
      <c r="S76" s="29"/>
      <c r="T76" s="29"/>
      <c r="U76" s="29"/>
      <c r="V76" s="35"/>
      <c r="W76" s="35"/>
      <c r="X76" s="29"/>
      <c r="Y76" s="35"/>
      <c r="Z76" s="35"/>
      <c r="AA76" s="35"/>
      <c r="AB76" s="29"/>
      <c r="AC76" s="29"/>
      <c r="AD76" s="35"/>
      <c r="AE76" s="35"/>
      <c r="AF76" s="29"/>
      <c r="AG76" s="29"/>
      <c r="AH76" s="29"/>
      <c r="AI76" s="35"/>
      <c r="AJ76" s="29"/>
      <c r="AK76" s="29"/>
      <c r="AL76" s="29"/>
      <c r="AM76" s="29"/>
      <c r="AN76" s="29"/>
    </row>
    <row r="77" spans="1:40" ht="15.75" customHeight="1">
      <c r="A77" s="29">
        <v>6800</v>
      </c>
      <c r="B77" s="30" t="s">
        <v>133</v>
      </c>
      <c r="C77" s="32">
        <f>SUM(D77:AJ77)</f>
        <v>500</v>
      </c>
      <c r="D77" s="33"/>
      <c r="E77" s="35"/>
      <c r="F77" s="35"/>
      <c r="G77" s="35"/>
      <c r="H77" s="35"/>
      <c r="I77" s="35"/>
      <c r="J77" s="35">
        <v>500</v>
      </c>
      <c r="K77" s="35"/>
      <c r="L77" s="35"/>
      <c r="M77" s="35"/>
      <c r="N77" s="35"/>
      <c r="O77" s="29"/>
      <c r="P77" s="39"/>
      <c r="Q77" s="35"/>
      <c r="R77" s="29"/>
      <c r="S77" s="29"/>
      <c r="T77" s="29"/>
      <c r="U77" s="29"/>
      <c r="V77" s="35"/>
      <c r="W77" s="35"/>
      <c r="X77" s="29"/>
      <c r="Y77" s="35"/>
      <c r="Z77" s="35"/>
      <c r="AA77" s="35"/>
      <c r="AB77" s="29"/>
      <c r="AC77" s="29"/>
      <c r="AD77" s="35"/>
      <c r="AE77" s="35"/>
      <c r="AF77" s="29"/>
      <c r="AG77" s="29"/>
      <c r="AH77" s="29"/>
      <c r="AI77" s="35"/>
      <c r="AJ77" s="29"/>
      <c r="AK77" s="29"/>
      <c r="AL77" s="29"/>
      <c r="AM77" s="29"/>
      <c r="AN77" s="29"/>
    </row>
    <row r="78" spans="1:40" ht="15.75" customHeight="1">
      <c r="A78" s="29">
        <v>6810</v>
      </c>
      <c r="B78" s="30" t="s">
        <v>134</v>
      </c>
      <c r="C78" s="32">
        <f>SUM(D78:AJ78)</f>
        <v>209</v>
      </c>
      <c r="D78" s="33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29"/>
      <c r="P78" s="39"/>
      <c r="Q78" s="35"/>
      <c r="R78" s="29"/>
      <c r="S78" s="29"/>
      <c r="T78" s="29"/>
      <c r="U78" s="29"/>
      <c r="V78" s="35"/>
      <c r="W78" s="35"/>
      <c r="X78" s="29"/>
      <c r="Y78" s="35"/>
      <c r="Z78" s="35"/>
      <c r="AA78" s="35"/>
      <c r="AB78" s="29"/>
      <c r="AC78" s="29"/>
      <c r="AD78" s="35"/>
      <c r="AE78" s="35">
        <v>84</v>
      </c>
      <c r="AF78" s="29"/>
      <c r="AG78" s="29">
        <v>125</v>
      </c>
      <c r="AH78" s="29"/>
      <c r="AI78" s="35"/>
      <c r="AJ78" s="29"/>
      <c r="AK78" s="29"/>
      <c r="AL78" s="29"/>
      <c r="AM78" s="29"/>
      <c r="AN78" s="29"/>
    </row>
    <row r="79" spans="1:40" ht="15.75" customHeight="1">
      <c r="A79" s="29">
        <v>6811</v>
      </c>
      <c r="B79" s="30" t="s">
        <v>135</v>
      </c>
      <c r="C79" s="32">
        <f>SUM(D79:AJ79)</f>
        <v>13776.25</v>
      </c>
      <c r="D79" s="33"/>
      <c r="E79" s="35"/>
      <c r="F79" s="35"/>
      <c r="G79" s="35"/>
      <c r="H79" s="35"/>
      <c r="I79" s="35"/>
      <c r="J79" s="35">
        <v>1500</v>
      </c>
      <c r="K79" s="35"/>
      <c r="L79" s="35"/>
      <c r="M79" s="35"/>
      <c r="N79" s="35">
        <v>1000</v>
      </c>
      <c r="O79" s="29">
        <v>700</v>
      </c>
      <c r="P79" s="39"/>
      <c r="Q79" s="35">
        <v>390</v>
      </c>
      <c r="R79" s="29"/>
      <c r="S79" s="29"/>
      <c r="T79" s="29"/>
      <c r="U79" s="29"/>
      <c r="V79" s="35"/>
      <c r="W79" s="35"/>
      <c r="X79" s="29"/>
      <c r="Y79" s="35"/>
      <c r="Z79" s="35"/>
      <c r="AA79" s="35">
        <v>1000</v>
      </c>
      <c r="AB79" s="29">
        <v>1500</v>
      </c>
      <c r="AC79" s="29"/>
      <c r="AD79" s="35">
        <v>1500</v>
      </c>
      <c r="AE79" s="35">
        <v>136.25</v>
      </c>
      <c r="AF79" s="41">
        <v>1500</v>
      </c>
      <c r="AG79" s="29"/>
      <c r="AH79" s="29"/>
      <c r="AI79" s="35"/>
      <c r="AJ79" s="29">
        <v>4550</v>
      </c>
      <c r="AK79" s="29"/>
      <c r="AL79" s="29"/>
      <c r="AM79" s="29"/>
      <c r="AN79" s="29"/>
    </row>
    <row r="80" spans="1:40" ht="15.75" customHeight="1">
      <c r="A80" s="29">
        <v>6820</v>
      </c>
      <c r="B80" s="30" t="s">
        <v>136</v>
      </c>
      <c r="C80" s="32">
        <f>SUM(D80:AJ80)</f>
        <v>53700</v>
      </c>
      <c r="D80" s="33"/>
      <c r="E80" s="35">
        <v>3000</v>
      </c>
      <c r="F80" s="35"/>
      <c r="G80" s="35"/>
      <c r="H80" s="35"/>
      <c r="I80" s="35"/>
      <c r="J80" s="35"/>
      <c r="K80" s="35"/>
      <c r="L80" s="35"/>
      <c r="M80" s="35"/>
      <c r="N80" s="35"/>
      <c r="O80" s="29"/>
      <c r="P80" s="39"/>
      <c r="Q80" s="35"/>
      <c r="R80" s="29"/>
      <c r="S80" s="29"/>
      <c r="T80" s="29"/>
      <c r="U80" s="29">
        <v>40000</v>
      </c>
      <c r="V80" s="35">
        <v>1000</v>
      </c>
      <c r="W80" s="35"/>
      <c r="X80" s="29"/>
      <c r="Y80" s="35">
        <v>300</v>
      </c>
      <c r="Z80" s="35"/>
      <c r="AA80" s="35">
        <v>1000</v>
      </c>
      <c r="AB80" s="29">
        <v>4000</v>
      </c>
      <c r="AC80" s="29">
        <v>400</v>
      </c>
      <c r="AD80" s="35"/>
      <c r="AE80" s="35">
        <v>500</v>
      </c>
      <c r="AF80" s="29"/>
      <c r="AG80" s="29"/>
      <c r="AH80" s="39">
        <v>2000</v>
      </c>
      <c r="AI80" s="35"/>
      <c r="AJ80" s="29">
        <v>1500</v>
      </c>
      <c r="AK80" s="29"/>
      <c r="AL80" s="29"/>
      <c r="AM80" s="29"/>
      <c r="AN80" s="29"/>
    </row>
    <row r="81" spans="1:40" ht="15.75" customHeight="1">
      <c r="A81" s="29">
        <v>6840</v>
      </c>
      <c r="B81" s="30" t="s">
        <v>137</v>
      </c>
      <c r="C81" s="32">
        <f>SUM(D81:AJ81)</f>
        <v>500</v>
      </c>
      <c r="D81" s="33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29"/>
      <c r="P81" s="39"/>
      <c r="Q81" s="35"/>
      <c r="R81" s="29"/>
      <c r="S81" s="29"/>
      <c r="T81" s="29"/>
      <c r="U81" s="29"/>
      <c r="V81" s="35"/>
      <c r="W81" s="35"/>
      <c r="X81" s="29"/>
      <c r="Y81" s="35"/>
      <c r="Z81" s="35"/>
      <c r="AA81" s="35"/>
      <c r="AB81" s="29"/>
      <c r="AC81" s="29"/>
      <c r="AD81" s="35"/>
      <c r="AE81" s="35">
        <v>500</v>
      </c>
      <c r="AF81" s="29"/>
      <c r="AG81" s="29"/>
      <c r="AH81" s="41"/>
      <c r="AI81" s="35"/>
      <c r="AJ81" s="29"/>
      <c r="AK81" s="29"/>
      <c r="AL81" s="29"/>
      <c r="AM81" s="29"/>
      <c r="AN81" s="29"/>
    </row>
    <row r="82" spans="1:40" ht="15.75" customHeight="1">
      <c r="A82" s="29">
        <v>6860</v>
      </c>
      <c r="B82" s="30" t="s">
        <v>138</v>
      </c>
      <c r="C82" s="32">
        <f>SUM(D82:AJ82)</f>
        <v>136000</v>
      </c>
      <c r="D82" s="33"/>
      <c r="E82" s="35">
        <v>1000</v>
      </c>
      <c r="F82" s="35"/>
      <c r="G82" s="35"/>
      <c r="H82" s="35">
        <v>6500</v>
      </c>
      <c r="I82" s="35"/>
      <c r="J82" s="35"/>
      <c r="K82" s="35">
        <v>30000</v>
      </c>
      <c r="L82" s="35">
        <v>12000</v>
      </c>
      <c r="M82" s="35"/>
      <c r="N82" s="35">
        <v>2500</v>
      </c>
      <c r="O82" s="29">
        <v>21000</v>
      </c>
      <c r="P82" s="39">
        <v>11000</v>
      </c>
      <c r="Q82" s="35">
        <v>2000</v>
      </c>
      <c r="R82" s="29"/>
      <c r="S82" s="29"/>
      <c r="T82" s="29"/>
      <c r="U82" s="29"/>
      <c r="V82" s="35"/>
      <c r="W82" s="35"/>
      <c r="X82" s="29"/>
      <c r="Y82" s="35"/>
      <c r="Z82" s="35"/>
      <c r="AA82" s="35"/>
      <c r="AB82" s="29"/>
      <c r="AC82" s="29">
        <v>15000</v>
      </c>
      <c r="AD82" s="35">
        <v>3000</v>
      </c>
      <c r="AE82" s="35">
        <v>5000</v>
      </c>
      <c r="AF82" s="29"/>
      <c r="AG82" s="29"/>
      <c r="AH82" s="39">
        <v>12000</v>
      </c>
      <c r="AI82" s="35"/>
      <c r="AJ82" s="29">
        <v>15000</v>
      </c>
      <c r="AK82" s="29"/>
      <c r="AL82" s="29"/>
      <c r="AM82" s="29"/>
      <c r="AN82" s="29"/>
    </row>
    <row r="83" spans="1:40" ht="15.75" customHeight="1">
      <c r="A83" s="29">
        <v>6900</v>
      </c>
      <c r="B83" s="30" t="s">
        <v>139</v>
      </c>
      <c r="C83" s="32">
        <f>SUM(D83:AJ83)</f>
        <v>0</v>
      </c>
      <c r="D83" s="33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29"/>
      <c r="P83" s="39"/>
      <c r="Q83" s="35"/>
      <c r="R83" s="29"/>
      <c r="S83" s="29"/>
      <c r="T83" s="29"/>
      <c r="U83" s="29"/>
      <c r="V83" s="35"/>
      <c r="W83" s="35"/>
      <c r="X83" s="29"/>
      <c r="Y83" s="35"/>
      <c r="Z83" s="35"/>
      <c r="AA83" s="35"/>
      <c r="AB83" s="29"/>
      <c r="AC83" s="29"/>
      <c r="AD83" s="35"/>
      <c r="AE83" s="35"/>
      <c r="AF83" s="29"/>
      <c r="AG83" s="29"/>
      <c r="AH83" s="29"/>
      <c r="AI83" s="35"/>
      <c r="AJ83" s="29"/>
      <c r="AK83" s="29"/>
      <c r="AL83" s="29"/>
      <c r="AM83" s="29"/>
      <c r="AN83" s="29"/>
    </row>
    <row r="84" spans="1:40" ht="15.75" customHeight="1">
      <c r="A84" s="29">
        <v>6940</v>
      </c>
      <c r="B84" s="30" t="s">
        <v>140</v>
      </c>
      <c r="C84" s="32">
        <f>SUM(D84:AJ84)</f>
        <v>0</v>
      </c>
      <c r="D84" s="33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29"/>
      <c r="P84" s="39"/>
      <c r="Q84" s="35"/>
      <c r="R84" s="29"/>
      <c r="S84" s="29"/>
      <c r="T84" s="29"/>
      <c r="U84" s="29"/>
      <c r="V84" s="35"/>
      <c r="W84" s="35"/>
      <c r="X84" s="29"/>
      <c r="Y84" s="35"/>
      <c r="Z84" s="35"/>
      <c r="AA84" s="35"/>
      <c r="AB84" s="29"/>
      <c r="AC84" s="29"/>
      <c r="AD84" s="35"/>
      <c r="AE84" s="35"/>
      <c r="AF84" s="29"/>
      <c r="AG84" s="29"/>
      <c r="AH84" s="29"/>
      <c r="AI84" s="35"/>
      <c r="AJ84" s="29"/>
      <c r="AK84" s="29"/>
      <c r="AL84" s="29"/>
      <c r="AM84" s="29"/>
      <c r="AN84" s="29"/>
    </row>
    <row r="85" spans="1:40" ht="15.75" customHeight="1">
      <c r="A85" s="29">
        <v>7100</v>
      </c>
      <c r="B85" s="30" t="s">
        <v>141</v>
      </c>
      <c r="C85" s="32">
        <f>SUM(D85:AJ85)</f>
        <v>63000</v>
      </c>
      <c r="D85" s="33"/>
      <c r="E85" s="35"/>
      <c r="F85" s="35"/>
      <c r="G85" s="35"/>
      <c r="H85" s="35"/>
      <c r="I85" s="35"/>
      <c r="J85" s="35"/>
      <c r="K85" s="35">
        <v>2000</v>
      </c>
      <c r="L85" s="35">
        <v>2500</v>
      </c>
      <c r="M85" s="35"/>
      <c r="N85" s="35"/>
      <c r="O85" s="29"/>
      <c r="P85" s="39"/>
      <c r="Q85" s="35"/>
      <c r="R85" s="29"/>
      <c r="S85" s="29"/>
      <c r="T85" s="29"/>
      <c r="U85" s="29"/>
      <c r="V85" s="35">
        <v>1000</v>
      </c>
      <c r="W85" s="35">
        <v>25000</v>
      </c>
      <c r="X85" s="29"/>
      <c r="Y85" s="35"/>
      <c r="Z85" s="35">
        <v>20000</v>
      </c>
      <c r="AA85" s="35"/>
      <c r="AB85" s="29"/>
      <c r="AC85" s="29">
        <v>2500</v>
      </c>
      <c r="AD85" s="35"/>
      <c r="AE85" s="35"/>
      <c r="AF85" s="29"/>
      <c r="AG85" s="29"/>
      <c r="AH85" s="29"/>
      <c r="AI85" s="35"/>
      <c r="AJ85" s="29">
        <v>10000</v>
      </c>
      <c r="AK85" s="29"/>
      <c r="AL85" s="29"/>
      <c r="AM85" s="29"/>
      <c r="AN85" s="29"/>
    </row>
    <row r="86" spans="1:40" ht="15.75" customHeight="1">
      <c r="A86" s="29">
        <v>7101</v>
      </c>
      <c r="B86" s="30" t="s">
        <v>142</v>
      </c>
      <c r="C86" s="32">
        <f>SUM(D86:AJ86)</f>
        <v>0</v>
      </c>
      <c r="D86" s="33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29"/>
      <c r="P86" s="39"/>
      <c r="Q86" s="35"/>
      <c r="R86" s="29"/>
      <c r="S86" s="29"/>
      <c r="T86" s="29"/>
      <c r="U86" s="29"/>
      <c r="V86" s="35"/>
      <c r="W86" s="35"/>
      <c r="X86" s="29"/>
      <c r="Y86" s="35"/>
      <c r="Z86" s="35"/>
      <c r="AA86" s="35"/>
      <c r="AB86" s="29"/>
      <c r="AC86" s="29"/>
      <c r="AD86" s="35"/>
      <c r="AE86" s="35"/>
      <c r="AF86" s="29"/>
      <c r="AG86" s="29"/>
      <c r="AH86" s="29"/>
      <c r="AI86" s="35"/>
      <c r="AJ86" s="29"/>
      <c r="AK86" s="29"/>
      <c r="AL86" s="29"/>
      <c r="AM86" s="29"/>
      <c r="AN86" s="29"/>
    </row>
    <row r="87" spans="1:40" ht="15.75" customHeight="1">
      <c r="A87" s="29">
        <v>7110</v>
      </c>
      <c r="B87" s="30" t="s">
        <v>143</v>
      </c>
      <c r="C87" s="32">
        <f>SUM(D87:AJ87)</f>
        <v>0</v>
      </c>
      <c r="D87" s="33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29"/>
      <c r="P87" s="39"/>
      <c r="Q87" s="35"/>
      <c r="R87" s="29"/>
      <c r="S87" s="29"/>
      <c r="T87" s="29"/>
      <c r="U87" s="29"/>
      <c r="V87" s="35"/>
      <c r="W87" s="35"/>
      <c r="X87" s="29"/>
      <c r="Y87" s="35"/>
      <c r="Z87" s="35"/>
      <c r="AA87" s="35"/>
      <c r="AC87" s="29"/>
      <c r="AD87" s="35"/>
      <c r="AE87" s="35"/>
      <c r="AF87" s="29"/>
      <c r="AG87" s="29"/>
      <c r="AH87" s="29"/>
      <c r="AI87" s="35"/>
      <c r="AJ87" s="29"/>
      <c r="AK87" s="29"/>
      <c r="AL87" s="29"/>
      <c r="AM87" s="29"/>
      <c r="AN87" s="29"/>
    </row>
    <row r="88" spans="1:40" ht="15.75" customHeight="1">
      <c r="A88" s="29">
        <v>7140</v>
      </c>
      <c r="B88" s="30" t="s">
        <v>144</v>
      </c>
      <c r="C88" s="32">
        <f>SUM(D88:AJ88)</f>
        <v>124210</v>
      </c>
      <c r="D88" s="33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29"/>
      <c r="P88" s="39">
        <v>120000</v>
      </c>
      <c r="Q88" s="35"/>
      <c r="R88" s="29"/>
      <c r="S88" s="29"/>
      <c r="T88" s="29"/>
      <c r="U88" s="29"/>
      <c r="V88" s="35"/>
      <c r="W88" s="35"/>
      <c r="X88" s="29"/>
      <c r="Y88" s="35">
        <f>(2300*2)-390</f>
        <v>4210</v>
      </c>
      <c r="Z88" s="35"/>
      <c r="AA88" s="35"/>
      <c r="AC88" s="29"/>
      <c r="AD88" s="35"/>
      <c r="AE88" s="35"/>
      <c r="AF88" s="29"/>
      <c r="AG88" s="29"/>
      <c r="AH88" s="29"/>
      <c r="AI88" s="35"/>
      <c r="AJ88" s="29"/>
      <c r="AK88" s="29"/>
      <c r="AL88" s="29"/>
      <c r="AM88" s="29"/>
      <c r="AN88" s="29"/>
    </row>
    <row r="89" spans="1:40" ht="15.75" customHeight="1">
      <c r="A89" s="29">
        <v>7150</v>
      </c>
      <c r="B89" s="30" t="s">
        <v>145</v>
      </c>
      <c r="C89" s="32">
        <f>SUM(D89:AJ89)</f>
        <v>0</v>
      </c>
      <c r="D89" s="33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29"/>
      <c r="P89" s="39"/>
      <c r="Q89" s="35"/>
      <c r="R89" s="29"/>
      <c r="S89" s="29"/>
      <c r="T89" s="29"/>
      <c r="U89" s="29"/>
      <c r="V89" s="35"/>
      <c r="W89" s="35"/>
      <c r="X89" s="29"/>
      <c r="Y89" s="35"/>
      <c r="Z89" s="35"/>
      <c r="AA89" s="35"/>
      <c r="AB89" s="29"/>
      <c r="AC89" s="29"/>
      <c r="AD89" s="35"/>
      <c r="AE89" s="35"/>
      <c r="AF89" s="29"/>
      <c r="AG89" s="29"/>
      <c r="AH89" s="29"/>
      <c r="AI89" s="35"/>
      <c r="AJ89" s="29"/>
      <c r="AK89" s="29"/>
      <c r="AL89" s="29"/>
      <c r="AM89" s="29"/>
      <c r="AN89" s="29"/>
    </row>
    <row r="90" spans="1:40" ht="15.75" customHeight="1">
      <c r="A90" s="29">
        <v>7300</v>
      </c>
      <c r="B90" s="30" t="s">
        <v>147</v>
      </c>
      <c r="C90" s="32">
        <f>SUM(D90:AJ90)</f>
        <v>0</v>
      </c>
      <c r="D90" s="33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29"/>
      <c r="P90" s="39"/>
      <c r="Q90" s="35"/>
      <c r="R90" s="29"/>
      <c r="S90" s="29"/>
      <c r="T90" s="29"/>
      <c r="U90" s="29"/>
      <c r="V90" s="35"/>
      <c r="W90" s="35"/>
      <c r="X90" s="29"/>
      <c r="Y90" s="35"/>
      <c r="Z90" s="35"/>
      <c r="AA90" s="35"/>
      <c r="AB90" s="29"/>
      <c r="AC90" s="29"/>
      <c r="AD90" s="35"/>
      <c r="AE90" s="35"/>
      <c r="AF90" s="29"/>
      <c r="AG90" s="29"/>
      <c r="AH90" s="29"/>
      <c r="AI90" s="35"/>
      <c r="AJ90" s="29"/>
      <c r="AK90" s="29"/>
      <c r="AL90" s="29"/>
      <c r="AM90" s="29"/>
      <c r="AN90" s="29"/>
    </row>
    <row r="91" spans="1:40" ht="15.75" customHeight="1">
      <c r="A91" s="29">
        <v>7320</v>
      </c>
      <c r="B91" s="30" t="s">
        <v>148</v>
      </c>
      <c r="C91" s="32">
        <f>SUM(D91:AJ91)</f>
        <v>34000</v>
      </c>
      <c r="D91" s="33"/>
      <c r="E91" s="35">
        <v>500</v>
      </c>
      <c r="F91" s="35"/>
      <c r="G91" s="35"/>
      <c r="H91" s="35">
        <v>500</v>
      </c>
      <c r="I91" s="35"/>
      <c r="J91" s="35">
        <v>20000</v>
      </c>
      <c r="K91" s="35"/>
      <c r="L91" s="35"/>
      <c r="M91" s="35"/>
      <c r="N91" s="35"/>
      <c r="O91" s="29">
        <v>4000</v>
      </c>
      <c r="P91" s="39"/>
      <c r="Q91" s="35"/>
      <c r="R91" s="29"/>
      <c r="S91" s="29">
        <v>1000</v>
      </c>
      <c r="T91" s="29"/>
      <c r="U91" s="29"/>
      <c r="V91" s="35">
        <v>2000</v>
      </c>
      <c r="W91" s="35"/>
      <c r="X91" s="29"/>
      <c r="Y91" s="35"/>
      <c r="Z91" s="35"/>
      <c r="AA91" s="35"/>
      <c r="AB91" s="29">
        <v>2000</v>
      </c>
      <c r="AC91" s="29"/>
      <c r="AD91" s="35">
        <v>4000</v>
      </c>
      <c r="AE91" s="35"/>
      <c r="AF91" s="29"/>
      <c r="AG91" s="29"/>
      <c r="AH91" s="29"/>
      <c r="AI91" s="35"/>
      <c r="AJ91" s="29"/>
      <c r="AK91" s="29"/>
      <c r="AL91" s="29"/>
      <c r="AM91" s="29"/>
      <c r="AN91" s="29"/>
    </row>
    <row r="92" spans="1:40" ht="15.75" customHeight="1">
      <c r="A92" s="29">
        <v>7350</v>
      </c>
      <c r="B92" s="30" t="s">
        <v>149</v>
      </c>
      <c r="C92" s="32">
        <f>SUM(D92:AJ92)</f>
        <v>300</v>
      </c>
      <c r="D92" s="33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29"/>
      <c r="P92" s="39"/>
      <c r="Q92" s="35">
        <v>300</v>
      </c>
      <c r="R92" s="29"/>
      <c r="S92" s="29"/>
      <c r="T92" s="29"/>
      <c r="U92" s="29"/>
      <c r="V92" s="35"/>
      <c r="W92" s="35"/>
      <c r="X92" s="29"/>
      <c r="Y92" s="35"/>
      <c r="Z92" s="35"/>
      <c r="AA92" s="35"/>
      <c r="AC92" s="29"/>
      <c r="AD92" s="35"/>
      <c r="AE92" s="35"/>
      <c r="AF92" s="29"/>
      <c r="AG92" s="29"/>
      <c r="AH92" s="29"/>
      <c r="AI92" s="35"/>
      <c r="AJ92" s="29"/>
      <c r="AK92" s="29"/>
      <c r="AL92" s="29"/>
      <c r="AM92" s="29"/>
      <c r="AN92" s="29"/>
    </row>
    <row r="93" spans="1:40" ht="15.75" customHeight="1">
      <c r="A93" s="29">
        <v>7400</v>
      </c>
      <c r="B93" s="30" t="s">
        <v>150</v>
      </c>
      <c r="C93" s="32">
        <f>SUM(D93:AJ93)</f>
        <v>0</v>
      </c>
      <c r="D93" s="33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29"/>
      <c r="P93" s="39"/>
      <c r="Q93" s="35"/>
      <c r="R93" s="29"/>
      <c r="S93" s="29"/>
      <c r="T93" s="29"/>
      <c r="U93" s="29"/>
      <c r="V93" s="35"/>
      <c r="W93" s="35"/>
      <c r="X93" s="29"/>
      <c r="Y93" s="35"/>
      <c r="Z93" s="35"/>
      <c r="AA93" s="35"/>
      <c r="AB93" s="29"/>
      <c r="AC93" s="29"/>
      <c r="AD93" s="35"/>
      <c r="AE93" s="35"/>
      <c r="AF93" s="29"/>
      <c r="AG93" s="29"/>
      <c r="AH93" s="29"/>
      <c r="AI93" s="35"/>
      <c r="AJ93" s="29"/>
      <c r="AK93" s="29"/>
      <c r="AL93" s="29"/>
      <c r="AM93" s="29"/>
      <c r="AN93" s="29"/>
    </row>
    <row r="94" spans="1:40" ht="15.75" customHeight="1">
      <c r="A94" s="29">
        <v>7410</v>
      </c>
      <c r="B94" s="30" t="s">
        <v>103</v>
      </c>
      <c r="C94" s="32">
        <f>SUM(D94:AJ94)</f>
        <v>0</v>
      </c>
      <c r="D94" s="33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29"/>
      <c r="P94" s="39"/>
      <c r="Q94" s="35"/>
      <c r="R94" s="29"/>
      <c r="S94" s="29"/>
      <c r="T94" s="29"/>
      <c r="U94" s="29"/>
      <c r="V94" s="35"/>
      <c r="W94" s="35"/>
      <c r="X94" s="29"/>
      <c r="Y94" s="35"/>
      <c r="Z94" s="35"/>
      <c r="AA94" s="35"/>
      <c r="AB94" s="29"/>
      <c r="AC94" s="29"/>
      <c r="AD94" s="35"/>
      <c r="AE94" s="35"/>
      <c r="AF94" s="29"/>
      <c r="AG94" s="29"/>
      <c r="AH94" s="29"/>
      <c r="AI94" s="35"/>
      <c r="AJ94" s="29"/>
      <c r="AK94" s="29"/>
      <c r="AL94" s="29"/>
      <c r="AM94" s="29"/>
      <c r="AN94" s="29"/>
    </row>
    <row r="95" spans="1:40" ht="15.75" customHeight="1">
      <c r="A95" s="29">
        <v>7420</v>
      </c>
      <c r="B95" s="30" t="s">
        <v>151</v>
      </c>
      <c r="C95" s="32">
        <f>SUM(D95:AJ95)</f>
        <v>19000</v>
      </c>
      <c r="D95" s="33"/>
      <c r="E95" s="35">
        <v>500</v>
      </c>
      <c r="F95" s="35"/>
      <c r="G95" s="35"/>
      <c r="H95" s="35">
        <v>10000</v>
      </c>
      <c r="I95" s="35"/>
      <c r="J95" s="35"/>
      <c r="K95" s="35"/>
      <c r="L95" s="35"/>
      <c r="M95" s="35"/>
      <c r="N95" s="35"/>
      <c r="O95" s="29"/>
      <c r="P95" s="39"/>
      <c r="Q95" s="35"/>
      <c r="R95" s="29"/>
      <c r="S95" s="29">
        <v>1000</v>
      </c>
      <c r="T95" s="29"/>
      <c r="U95" s="29"/>
      <c r="V95" s="35"/>
      <c r="W95" s="35"/>
      <c r="X95" s="29"/>
      <c r="Y95" s="35"/>
      <c r="Z95" s="35"/>
      <c r="AA95" s="35"/>
      <c r="AB95" s="29"/>
      <c r="AC95" s="29"/>
      <c r="AD95" s="35">
        <v>7500</v>
      </c>
      <c r="AE95" s="35"/>
      <c r="AF95" s="29"/>
      <c r="AG95" s="29"/>
      <c r="AH95" s="29"/>
      <c r="AI95" s="35"/>
      <c r="AJ95" s="29"/>
      <c r="AK95" s="29"/>
      <c r="AL95" s="29"/>
      <c r="AM95" s="29"/>
      <c r="AN95" s="29"/>
    </row>
    <row r="96" spans="1:40" ht="15.75" customHeight="1">
      <c r="A96" s="29">
        <v>7430</v>
      </c>
      <c r="B96" s="30" t="s">
        <v>152</v>
      </c>
      <c r="C96" s="32">
        <f>SUM(D96:AJ96)</f>
        <v>1000</v>
      </c>
      <c r="D96" s="33"/>
      <c r="E96" s="35"/>
      <c r="F96" s="35"/>
      <c r="G96" s="35"/>
      <c r="H96" s="29"/>
      <c r="I96" s="35"/>
      <c r="J96" s="35"/>
      <c r="K96" s="35"/>
      <c r="L96" s="35"/>
      <c r="M96" s="35"/>
      <c r="N96" s="35"/>
      <c r="O96" s="29"/>
      <c r="P96" s="39"/>
      <c r="Q96" s="35"/>
      <c r="R96" s="29"/>
      <c r="S96" s="29"/>
      <c r="T96" s="29"/>
      <c r="U96" s="29"/>
      <c r="V96" s="35"/>
      <c r="W96" s="35"/>
      <c r="X96" s="29"/>
      <c r="Y96" s="35"/>
      <c r="Z96" s="35"/>
      <c r="AA96" s="35"/>
      <c r="AB96" s="29">
        <v>1000</v>
      </c>
      <c r="AC96" s="29"/>
      <c r="AD96" s="35"/>
      <c r="AE96" s="35"/>
      <c r="AF96" s="29"/>
      <c r="AG96" s="29"/>
      <c r="AH96" s="29"/>
      <c r="AI96" s="35"/>
      <c r="AJ96" s="29"/>
      <c r="AK96" s="29"/>
      <c r="AL96" s="29"/>
      <c r="AM96" s="29"/>
      <c r="AN96" s="29"/>
    </row>
    <row r="97" spans="1:56" ht="15.75" customHeight="1">
      <c r="A97" s="29">
        <v>7500</v>
      </c>
      <c r="B97" s="30" t="s">
        <v>153</v>
      </c>
      <c r="C97" s="32">
        <f>SUM(D97:AJ97)</f>
        <v>0</v>
      </c>
      <c r="D97" s="33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29"/>
      <c r="P97" s="39"/>
      <c r="Q97" s="35"/>
      <c r="R97" s="29"/>
      <c r="S97" s="29"/>
      <c r="T97" s="29"/>
      <c r="U97" s="29"/>
      <c r="V97" s="35"/>
      <c r="W97" s="35"/>
      <c r="X97" s="29"/>
      <c r="Y97" s="35"/>
      <c r="Z97" s="35"/>
      <c r="AA97" s="35"/>
      <c r="AB97" s="29"/>
      <c r="AC97" s="29"/>
      <c r="AD97" s="35"/>
      <c r="AE97" s="35"/>
      <c r="AF97" s="29"/>
      <c r="AG97" s="29"/>
      <c r="AH97" s="29"/>
      <c r="AI97" s="35"/>
      <c r="AJ97" s="29"/>
      <c r="AK97" s="29"/>
      <c r="AL97" s="29"/>
      <c r="AM97" s="29"/>
      <c r="AN97" s="29"/>
    </row>
    <row r="98" spans="1:56" ht="15.75" customHeight="1">
      <c r="A98" s="29">
        <v>7510</v>
      </c>
      <c r="B98" s="30" t="s">
        <v>154</v>
      </c>
      <c r="C98" s="32">
        <f>SUM(D98:AJ98)</f>
        <v>83030</v>
      </c>
      <c r="D98" s="33"/>
      <c r="E98" s="35">
        <v>1800</v>
      </c>
      <c r="F98" s="35"/>
      <c r="G98" s="35"/>
      <c r="H98" s="35"/>
      <c r="I98" s="35">
        <v>1920</v>
      </c>
      <c r="J98" s="35"/>
      <c r="K98" s="35"/>
      <c r="L98" s="35"/>
      <c r="M98" s="35"/>
      <c r="N98" s="35">
        <v>78350</v>
      </c>
      <c r="O98" s="29"/>
      <c r="P98" s="39"/>
      <c r="Q98" s="35"/>
      <c r="R98" s="29"/>
      <c r="S98" s="29"/>
      <c r="T98" s="29"/>
      <c r="U98" s="29"/>
      <c r="V98" s="35"/>
      <c r="W98" s="35"/>
      <c r="X98" s="29"/>
      <c r="Y98" s="35">
        <f>80*12</f>
        <v>960</v>
      </c>
      <c r="Z98" s="35"/>
      <c r="AA98" s="35"/>
      <c r="AB98" s="29"/>
      <c r="AC98" s="29"/>
      <c r="AD98" s="35"/>
      <c r="AE98" s="35"/>
      <c r="AF98" s="29"/>
      <c r="AG98" s="29"/>
      <c r="AH98" s="29"/>
      <c r="AI98" s="35"/>
      <c r="AJ98" s="29"/>
      <c r="AK98" s="29"/>
      <c r="AL98" s="29"/>
      <c r="AM98" s="29"/>
      <c r="AN98" s="29"/>
    </row>
    <row r="99" spans="1:56" ht="15.75" customHeight="1">
      <c r="A99" s="29">
        <v>7700</v>
      </c>
      <c r="B99" s="30" t="s">
        <v>155</v>
      </c>
      <c r="C99" s="32">
        <f>SUM(D99:AJ99)</f>
        <v>50200</v>
      </c>
      <c r="D99" s="33"/>
      <c r="E99" s="35">
        <v>2000</v>
      </c>
      <c r="F99" s="35">
        <v>1000</v>
      </c>
      <c r="G99" s="35">
        <v>4000</v>
      </c>
      <c r="H99" s="35"/>
      <c r="I99" s="35"/>
      <c r="J99" s="35">
        <v>2000</v>
      </c>
      <c r="K99" s="35">
        <v>1500</v>
      </c>
      <c r="L99" s="35"/>
      <c r="M99" s="35"/>
      <c r="N99" s="35"/>
      <c r="O99" s="29">
        <v>4000</v>
      </c>
      <c r="P99" s="39"/>
      <c r="Q99" s="35">
        <v>1100</v>
      </c>
      <c r="R99" s="35">
        <v>500</v>
      </c>
      <c r="S99" s="29"/>
      <c r="T99" s="29"/>
      <c r="U99" s="29"/>
      <c r="V99" s="35">
        <v>1000</v>
      </c>
      <c r="W99" s="35">
        <v>10000</v>
      </c>
      <c r="X99" s="29"/>
      <c r="Y99" s="35">
        <v>600</v>
      </c>
      <c r="Z99" s="35">
        <v>2000</v>
      </c>
      <c r="AA99" s="35">
        <v>1000</v>
      </c>
      <c r="AB99" s="29"/>
      <c r="AC99" s="29">
        <v>5000</v>
      </c>
      <c r="AD99" s="35">
        <v>3000</v>
      </c>
      <c r="AE99" s="35"/>
      <c r="AF99" s="41">
        <v>4000</v>
      </c>
      <c r="AG99" s="29"/>
      <c r="AH99" s="39">
        <v>2000</v>
      </c>
      <c r="AI99" s="35">
        <v>1500</v>
      </c>
      <c r="AJ99" s="29">
        <v>4000</v>
      </c>
      <c r="AK99" s="29"/>
      <c r="AL99" s="29"/>
      <c r="AM99" s="29"/>
      <c r="AN99" s="29"/>
    </row>
    <row r="100" spans="1:56" ht="15.75" customHeight="1">
      <c r="A100" s="29">
        <v>7740</v>
      </c>
      <c r="B100" s="30" t="s">
        <v>156</v>
      </c>
      <c r="C100" s="32">
        <f>SUM(D100:AJ100)</f>
        <v>0</v>
      </c>
      <c r="D100" s="33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29"/>
      <c r="P100" s="39"/>
      <c r="Q100" s="35"/>
      <c r="R100" s="29"/>
      <c r="S100" s="29"/>
      <c r="T100" s="29"/>
      <c r="U100" s="29"/>
      <c r="V100" s="35"/>
      <c r="W100" s="35"/>
      <c r="X100" s="29"/>
      <c r="Y100" s="35"/>
      <c r="Z100" s="35"/>
      <c r="AA100" s="35"/>
      <c r="AB100" s="29"/>
      <c r="AC100" s="29"/>
      <c r="AD100" s="35"/>
      <c r="AE100" s="35"/>
      <c r="AF100" s="29"/>
      <c r="AG100" s="29"/>
      <c r="AH100" s="29"/>
      <c r="AI100" s="35"/>
      <c r="AJ100" s="29"/>
      <c r="AK100" s="29"/>
      <c r="AL100" s="29"/>
      <c r="AM100" s="29"/>
      <c r="AN100" s="29"/>
    </row>
    <row r="101" spans="1:56" ht="15.75" customHeight="1">
      <c r="A101" s="29">
        <v>7750</v>
      </c>
      <c r="B101" s="30" t="s">
        <v>157</v>
      </c>
      <c r="C101" s="32">
        <f>SUM(D101:AJ101)</f>
        <v>0</v>
      </c>
      <c r="D101" s="33"/>
      <c r="E101" s="35"/>
      <c r="F101" s="35"/>
      <c r="G101" s="35"/>
      <c r="H101" s="29"/>
      <c r="I101" s="35"/>
      <c r="J101" s="35"/>
      <c r="K101" s="35"/>
      <c r="L101" s="35"/>
      <c r="M101" s="35"/>
      <c r="N101" s="35"/>
      <c r="O101" s="29"/>
      <c r="P101" s="39"/>
      <c r="Q101" s="35"/>
      <c r="R101" s="29"/>
      <c r="S101" s="29"/>
      <c r="T101" s="29"/>
      <c r="U101" s="29"/>
      <c r="V101" s="35"/>
      <c r="W101" s="35"/>
      <c r="X101" s="29"/>
      <c r="Y101" s="35"/>
      <c r="Z101" s="35"/>
      <c r="AA101" s="35"/>
      <c r="AB101" s="29"/>
      <c r="AC101" s="29"/>
      <c r="AD101" s="35"/>
      <c r="AE101" s="35"/>
      <c r="AF101" s="29"/>
      <c r="AG101" s="29"/>
      <c r="AH101" s="29"/>
      <c r="AI101" s="35"/>
      <c r="AJ101" s="29"/>
      <c r="AK101" s="29"/>
      <c r="AL101" s="29"/>
      <c r="AM101" s="29"/>
      <c r="AN101" s="29"/>
    </row>
    <row r="102" spans="1:56" ht="15.75" customHeight="1">
      <c r="A102" s="29">
        <v>7770</v>
      </c>
      <c r="B102" s="30" t="s">
        <v>158</v>
      </c>
      <c r="C102" s="32">
        <f>SUM(D102:AJ102)</f>
        <v>2000</v>
      </c>
      <c r="D102" s="33"/>
      <c r="E102" s="35"/>
      <c r="F102" s="35"/>
      <c r="G102" s="35"/>
      <c r="H102" s="29"/>
      <c r="I102" s="35"/>
      <c r="J102" s="35">
        <v>500</v>
      </c>
      <c r="K102" s="35">
        <v>1000</v>
      </c>
      <c r="L102" s="35"/>
      <c r="M102" s="35"/>
      <c r="N102" s="35"/>
      <c r="O102" s="29"/>
      <c r="P102" s="39"/>
      <c r="Q102" s="35"/>
      <c r="R102" s="29"/>
      <c r="S102" s="29"/>
      <c r="T102" s="29"/>
      <c r="U102" s="29"/>
      <c r="V102" s="35"/>
      <c r="W102" s="35"/>
      <c r="X102" s="29"/>
      <c r="Y102" s="35"/>
      <c r="Z102" s="35">
        <v>500</v>
      </c>
      <c r="AA102" s="35"/>
      <c r="AB102" s="29"/>
      <c r="AC102" s="29"/>
      <c r="AD102" s="35"/>
      <c r="AE102" s="35"/>
      <c r="AF102" s="29"/>
      <c r="AG102" s="29"/>
      <c r="AH102" s="29"/>
      <c r="AI102" s="35"/>
      <c r="AJ102" s="29"/>
      <c r="AK102" s="29"/>
      <c r="AL102" s="29"/>
      <c r="AM102" s="29"/>
      <c r="AN102" s="29"/>
    </row>
    <row r="103" spans="1:56" ht="15.75" customHeight="1">
      <c r="A103" s="29">
        <v>7790</v>
      </c>
      <c r="B103" s="30" t="s">
        <v>159</v>
      </c>
      <c r="C103" s="32">
        <f>SUM(D103:AJ103)</f>
        <v>16500</v>
      </c>
      <c r="D103" s="33"/>
      <c r="E103" s="35"/>
      <c r="F103" s="35"/>
      <c r="G103" s="35"/>
      <c r="H103" s="35"/>
      <c r="I103" s="35"/>
      <c r="J103" s="35">
        <v>1500</v>
      </c>
      <c r="K103" s="35"/>
      <c r="L103" s="35"/>
      <c r="M103" s="35"/>
      <c r="N103" s="35">
        <v>15000</v>
      </c>
      <c r="O103" s="29"/>
      <c r="P103" s="39"/>
      <c r="Q103" s="35"/>
      <c r="R103" s="29"/>
      <c r="S103" s="29"/>
      <c r="T103" s="29"/>
      <c r="U103" s="29"/>
      <c r="V103" s="35"/>
      <c r="W103" s="35"/>
      <c r="X103" s="29"/>
      <c r="Y103" s="35"/>
      <c r="Z103" s="35"/>
      <c r="AA103" s="35"/>
      <c r="AB103" s="29"/>
      <c r="AC103" s="29"/>
      <c r="AD103" s="35"/>
      <c r="AE103" s="35"/>
      <c r="AF103" s="29"/>
      <c r="AG103" s="29"/>
      <c r="AH103" s="29"/>
      <c r="AI103" s="35"/>
      <c r="AJ103" s="29"/>
      <c r="AK103" s="29"/>
      <c r="AL103" s="29"/>
      <c r="AM103" s="29"/>
      <c r="AN103" s="29"/>
    </row>
    <row r="104" spans="1:56" ht="15.75" customHeight="1">
      <c r="A104" s="29">
        <v>7791</v>
      </c>
      <c r="B104" s="30" t="s">
        <v>160</v>
      </c>
      <c r="C104" s="32">
        <f>SUM(D104:AJ104)</f>
        <v>5800</v>
      </c>
      <c r="D104" s="33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29">
        <v>800</v>
      </c>
      <c r="P104" s="39"/>
      <c r="Q104" s="35"/>
      <c r="R104" s="29"/>
      <c r="S104" s="29"/>
      <c r="T104" s="29"/>
      <c r="U104" s="29"/>
      <c r="V104" s="35"/>
      <c r="W104" s="35"/>
      <c r="X104" s="29"/>
      <c r="Y104" s="35"/>
      <c r="Z104" s="35">
        <v>5000</v>
      </c>
      <c r="AA104" s="35"/>
      <c r="AB104" s="29"/>
      <c r="AC104" s="29"/>
      <c r="AD104" s="35"/>
      <c r="AE104" s="35"/>
      <c r="AF104" s="29"/>
      <c r="AG104" s="29"/>
      <c r="AH104" s="29"/>
      <c r="AI104" s="35"/>
      <c r="AJ104" s="29"/>
      <c r="AK104" s="29"/>
      <c r="AL104" s="29"/>
      <c r="AM104" s="29"/>
      <c r="AN104" s="29"/>
    </row>
    <row r="105" spans="1:56" ht="15.75" customHeight="1">
      <c r="A105" s="29">
        <v>7830</v>
      </c>
      <c r="B105" s="30" t="s">
        <v>162</v>
      </c>
      <c r="C105" s="32">
        <f>SUM(D105:AJ105)</f>
        <v>500</v>
      </c>
      <c r="D105" s="33"/>
      <c r="E105" s="35"/>
      <c r="F105" s="35"/>
      <c r="G105" s="29"/>
      <c r="H105" s="35"/>
      <c r="I105" s="35"/>
      <c r="J105" s="35"/>
      <c r="K105" s="35"/>
      <c r="L105" s="35"/>
      <c r="M105" s="35">
        <v>500</v>
      </c>
      <c r="N105" s="35"/>
      <c r="O105" s="29"/>
      <c r="P105" s="39"/>
      <c r="Q105" s="35"/>
      <c r="R105" s="29"/>
      <c r="S105" s="29"/>
      <c r="T105" s="29"/>
      <c r="U105" s="29"/>
      <c r="V105" s="35"/>
      <c r="W105" s="35"/>
      <c r="X105" s="29"/>
      <c r="Y105" s="35"/>
      <c r="Z105" s="35"/>
      <c r="AA105" s="35"/>
      <c r="AB105" s="29"/>
      <c r="AC105" s="29"/>
      <c r="AD105" s="35"/>
      <c r="AE105" s="35"/>
      <c r="AF105" s="29"/>
      <c r="AG105" s="29"/>
      <c r="AH105" s="29"/>
      <c r="AI105" s="35"/>
      <c r="AJ105" s="29"/>
      <c r="AK105" s="29"/>
      <c r="AL105" s="29"/>
      <c r="AM105" s="29"/>
      <c r="AN105" s="29"/>
    </row>
    <row r="106" spans="1:56" ht="15.75" customHeight="1">
      <c r="A106" s="29">
        <v>7831</v>
      </c>
      <c r="B106" s="30" t="s">
        <v>163</v>
      </c>
      <c r="C106" s="32">
        <f>SUM(D106:AJ106)</f>
        <v>0</v>
      </c>
      <c r="D106" s="33"/>
      <c r="E106" s="35"/>
      <c r="F106" s="35"/>
      <c r="G106" s="35"/>
      <c r="H106" s="35"/>
      <c r="I106" s="35"/>
      <c r="J106" s="35"/>
      <c r="K106" s="35"/>
      <c r="L106" s="35"/>
      <c r="M106" s="69"/>
      <c r="N106" s="35"/>
      <c r="O106" s="29"/>
      <c r="P106" s="39"/>
      <c r="Q106" s="35"/>
      <c r="R106" s="29"/>
      <c r="S106" s="29"/>
      <c r="T106" s="29"/>
      <c r="U106" s="29"/>
      <c r="V106" s="35"/>
      <c r="W106" s="35"/>
      <c r="X106" s="29"/>
      <c r="Y106" s="35"/>
      <c r="Z106" s="35"/>
      <c r="AA106" s="35"/>
      <c r="AB106" s="29"/>
      <c r="AC106" s="29"/>
      <c r="AD106" s="35"/>
      <c r="AE106" s="35"/>
      <c r="AF106" s="29"/>
      <c r="AG106" s="29"/>
      <c r="AH106" s="29"/>
      <c r="AI106" s="35"/>
      <c r="AJ106" s="29"/>
      <c r="AK106" s="29"/>
      <c r="AL106" s="29"/>
      <c r="AM106" s="29"/>
      <c r="AN106" s="29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</row>
    <row r="107" spans="1:56" ht="15.75" customHeight="1">
      <c r="A107" s="63" t="s">
        <v>164</v>
      </c>
      <c r="B107" s="63"/>
      <c r="C107" s="32">
        <f>SUM(C44:C106)</f>
        <v>4836820.25</v>
      </c>
      <c r="D107" s="32">
        <f t="shared" ref="D107:AJ107" si="2">SUM(D44:D106)</f>
        <v>400000</v>
      </c>
      <c r="E107" s="32">
        <f t="shared" si="2"/>
        <v>32050</v>
      </c>
      <c r="F107" s="32">
        <f t="shared" si="2"/>
        <v>99000</v>
      </c>
      <c r="G107" s="32">
        <f t="shared" si="2"/>
        <v>128204</v>
      </c>
      <c r="H107" s="32">
        <f t="shared" si="2"/>
        <v>37550</v>
      </c>
      <c r="I107" s="32">
        <f t="shared" si="2"/>
        <v>37780</v>
      </c>
      <c r="J107" s="32">
        <f t="shared" si="2"/>
        <v>282500</v>
      </c>
      <c r="K107" s="32">
        <f t="shared" si="2"/>
        <v>192256</v>
      </c>
      <c r="L107" s="32">
        <f t="shared" si="2"/>
        <v>46000</v>
      </c>
      <c r="M107" s="32">
        <f t="shared" si="2"/>
        <v>67500</v>
      </c>
      <c r="N107" s="32">
        <f t="shared" si="2"/>
        <v>347350</v>
      </c>
      <c r="O107" s="32">
        <f t="shared" si="2"/>
        <v>539480</v>
      </c>
      <c r="P107" s="32">
        <f t="shared" si="2"/>
        <v>617000</v>
      </c>
      <c r="Q107" s="32">
        <f t="shared" si="2"/>
        <v>98490</v>
      </c>
      <c r="R107" s="32">
        <f t="shared" si="2"/>
        <v>3500</v>
      </c>
      <c r="S107" s="32">
        <f t="shared" si="2"/>
        <v>11000</v>
      </c>
      <c r="T107" s="32">
        <f t="shared" si="2"/>
        <v>9000</v>
      </c>
      <c r="U107" s="32">
        <f t="shared" si="2"/>
        <v>140000</v>
      </c>
      <c r="V107" s="32">
        <f t="shared" si="2"/>
        <v>107000</v>
      </c>
      <c r="W107" s="32">
        <f t="shared" si="2"/>
        <v>338000</v>
      </c>
      <c r="X107" s="32">
        <f t="shared" si="2"/>
        <v>9100</v>
      </c>
      <c r="Y107" s="32">
        <f t="shared" si="2"/>
        <v>8300</v>
      </c>
      <c r="Z107" s="32">
        <f t="shared" si="2"/>
        <v>111500</v>
      </c>
      <c r="AA107" s="32">
        <f t="shared" si="2"/>
        <v>112000</v>
      </c>
      <c r="AB107" s="32">
        <f t="shared" si="2"/>
        <v>83500</v>
      </c>
      <c r="AC107" s="32">
        <f t="shared" si="2"/>
        <v>74500</v>
      </c>
      <c r="AD107" s="32">
        <f t="shared" si="2"/>
        <v>100080</v>
      </c>
      <c r="AE107" s="32">
        <f t="shared" si="2"/>
        <v>32220.25</v>
      </c>
      <c r="AF107" s="32">
        <f t="shared" si="2"/>
        <v>104000</v>
      </c>
      <c r="AG107" s="32">
        <f t="shared" si="2"/>
        <v>6650</v>
      </c>
      <c r="AH107" s="32">
        <f t="shared" si="2"/>
        <v>160000</v>
      </c>
      <c r="AI107" s="32">
        <f t="shared" si="2"/>
        <v>27500</v>
      </c>
      <c r="AJ107" s="32">
        <f t="shared" si="2"/>
        <v>473810</v>
      </c>
      <c r="AK107" s="29"/>
      <c r="AL107" s="29"/>
      <c r="AM107" s="29"/>
      <c r="AN107" s="29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</row>
    <row r="108" spans="1:56" ht="15.75" customHeight="1">
      <c r="A108" s="29"/>
      <c r="B108" s="29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29"/>
      <c r="AL108" s="29"/>
      <c r="AM108" s="29"/>
      <c r="AN108" s="29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</row>
    <row r="109" spans="1:56" ht="15.75" customHeight="1">
      <c r="A109" s="63" t="s">
        <v>165</v>
      </c>
      <c r="B109" s="63"/>
      <c r="C109" s="32">
        <f>C107+C41</f>
        <v>5656515.5999999996</v>
      </c>
      <c r="D109" s="32">
        <f t="shared" ref="D109:AJ109" si="3">D107+D41</f>
        <v>400000</v>
      </c>
      <c r="E109" s="32">
        <f t="shared" si="3"/>
        <v>34050</v>
      </c>
      <c r="F109" s="32">
        <f t="shared" si="3"/>
        <v>109211.95</v>
      </c>
      <c r="G109" s="32">
        <f t="shared" si="3"/>
        <v>179204</v>
      </c>
      <c r="H109" s="32">
        <f t="shared" si="3"/>
        <v>47550</v>
      </c>
      <c r="I109" s="32">
        <f t="shared" si="3"/>
        <v>37780</v>
      </c>
      <c r="J109" s="32">
        <f t="shared" si="3"/>
        <v>538500</v>
      </c>
      <c r="K109" s="32">
        <f t="shared" si="3"/>
        <v>192256</v>
      </c>
      <c r="L109" s="32">
        <f t="shared" si="3"/>
        <v>46000</v>
      </c>
      <c r="M109" s="32">
        <f t="shared" si="3"/>
        <v>67500</v>
      </c>
      <c r="N109" s="32">
        <f t="shared" si="3"/>
        <v>444350</v>
      </c>
      <c r="O109" s="32">
        <f t="shared" si="3"/>
        <v>554480</v>
      </c>
      <c r="P109" s="32">
        <f t="shared" si="3"/>
        <v>803512</v>
      </c>
      <c r="Q109" s="32">
        <f t="shared" si="3"/>
        <v>127700</v>
      </c>
      <c r="R109" s="32">
        <f t="shared" si="3"/>
        <v>4200</v>
      </c>
      <c r="S109" s="32">
        <f t="shared" si="3"/>
        <v>16000</v>
      </c>
      <c r="T109" s="32">
        <f t="shared" si="3"/>
        <v>9000</v>
      </c>
      <c r="U109" s="32">
        <f t="shared" si="3"/>
        <v>140000</v>
      </c>
      <c r="V109" s="32">
        <f t="shared" si="3"/>
        <v>107000</v>
      </c>
      <c r="W109" s="32">
        <f t="shared" si="3"/>
        <v>338000</v>
      </c>
      <c r="X109" s="32">
        <f t="shared" si="3"/>
        <v>9100</v>
      </c>
      <c r="Y109" s="32">
        <f t="shared" si="3"/>
        <v>8300</v>
      </c>
      <c r="Z109" s="32">
        <f t="shared" si="3"/>
        <v>123366.39999999999</v>
      </c>
      <c r="AA109" s="32">
        <f t="shared" si="3"/>
        <v>112000</v>
      </c>
      <c r="AB109" s="32">
        <f t="shared" si="3"/>
        <v>83500</v>
      </c>
      <c r="AC109" s="32">
        <f t="shared" si="3"/>
        <v>74500</v>
      </c>
      <c r="AD109" s="32">
        <f t="shared" si="3"/>
        <v>100080</v>
      </c>
      <c r="AE109" s="32">
        <f t="shared" si="3"/>
        <v>32220.25</v>
      </c>
      <c r="AF109" s="32">
        <f t="shared" si="3"/>
        <v>104000</v>
      </c>
      <c r="AG109" s="32">
        <f t="shared" si="3"/>
        <v>12150</v>
      </c>
      <c r="AH109" s="32">
        <f t="shared" si="3"/>
        <v>170000</v>
      </c>
      <c r="AI109" s="32">
        <f t="shared" si="3"/>
        <v>27500</v>
      </c>
      <c r="AJ109" s="32">
        <f t="shared" si="3"/>
        <v>603505</v>
      </c>
      <c r="AK109" s="29"/>
      <c r="AL109" s="29"/>
      <c r="AM109" s="29"/>
      <c r="AN109" s="29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</row>
    <row r="110" spans="1:56" ht="15.75" customHeight="1">
      <c r="A110" s="29"/>
      <c r="B110" s="29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29"/>
      <c r="AL110" s="29"/>
      <c r="AM110" s="29"/>
      <c r="AN110" s="29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</row>
    <row r="111" spans="1:56" ht="15.75" customHeight="1">
      <c r="A111" s="63" t="s">
        <v>166</v>
      </c>
      <c r="B111" s="63"/>
      <c r="C111" s="32">
        <f>C21-C109</f>
        <v>-10617.599999999627</v>
      </c>
      <c r="D111" s="32">
        <f t="shared" ref="D111:AJ111" si="4">D21-D109</f>
        <v>0</v>
      </c>
      <c r="E111" s="32">
        <f t="shared" si="4"/>
        <v>-10050</v>
      </c>
      <c r="F111" s="32">
        <f t="shared" si="4"/>
        <v>4288.0500000000029</v>
      </c>
      <c r="G111" s="32">
        <f t="shared" si="4"/>
        <v>796</v>
      </c>
      <c r="H111" s="32">
        <f t="shared" si="4"/>
        <v>-10550</v>
      </c>
      <c r="I111" s="32">
        <f t="shared" si="4"/>
        <v>280</v>
      </c>
      <c r="J111" s="32">
        <f t="shared" si="4"/>
        <v>-18500</v>
      </c>
      <c r="K111" s="32">
        <f t="shared" si="4"/>
        <v>-256</v>
      </c>
      <c r="L111" s="32">
        <f t="shared" si="4"/>
        <v>0</v>
      </c>
      <c r="M111" s="32">
        <f t="shared" si="4"/>
        <v>-7500</v>
      </c>
      <c r="N111" s="32">
        <f t="shared" si="4"/>
        <v>458</v>
      </c>
      <c r="O111" s="32">
        <f t="shared" si="4"/>
        <v>0</v>
      </c>
      <c r="P111" s="32">
        <f t="shared" si="4"/>
        <v>20488</v>
      </c>
      <c r="Q111" s="32">
        <f t="shared" si="4"/>
        <v>9500</v>
      </c>
      <c r="R111" s="32">
        <f t="shared" si="4"/>
        <v>1200</v>
      </c>
      <c r="S111" s="32">
        <f t="shared" si="4"/>
        <v>1000</v>
      </c>
      <c r="T111" s="32">
        <f t="shared" si="4"/>
        <v>0</v>
      </c>
      <c r="U111" s="32">
        <f t="shared" si="4"/>
        <v>0</v>
      </c>
      <c r="V111" s="32">
        <f t="shared" si="4"/>
        <v>6000</v>
      </c>
      <c r="W111" s="32">
        <f t="shared" si="4"/>
        <v>-78000</v>
      </c>
      <c r="X111" s="32">
        <f t="shared" si="4"/>
        <v>0</v>
      </c>
      <c r="Y111" s="32">
        <f t="shared" si="4"/>
        <v>0</v>
      </c>
      <c r="Z111" s="32">
        <f t="shared" si="4"/>
        <v>12633.600000000006</v>
      </c>
      <c r="AA111" s="32">
        <f t="shared" si="4"/>
        <v>-850</v>
      </c>
      <c r="AB111" s="32">
        <f t="shared" si="4"/>
        <v>2500</v>
      </c>
      <c r="AC111" s="32">
        <f t="shared" si="4"/>
        <v>0</v>
      </c>
      <c r="AD111" s="32">
        <f t="shared" si="4"/>
        <v>-30580</v>
      </c>
      <c r="AE111" s="32">
        <f t="shared" si="4"/>
        <v>159.75</v>
      </c>
      <c r="AF111" s="32">
        <f t="shared" si="4"/>
        <v>0</v>
      </c>
      <c r="AG111" s="32">
        <f t="shared" si="4"/>
        <v>6880</v>
      </c>
      <c r="AH111" s="32">
        <f t="shared" si="4"/>
        <v>0</v>
      </c>
      <c r="AI111" s="32">
        <f t="shared" si="4"/>
        <v>0</v>
      </c>
      <c r="AJ111" s="32">
        <f t="shared" si="4"/>
        <v>79485</v>
      </c>
      <c r="AK111" s="29"/>
      <c r="AL111" s="29"/>
      <c r="AM111" s="29"/>
      <c r="AN111" s="29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</row>
    <row r="112" spans="1:56" ht="15.75" customHeight="1">
      <c r="A112" s="29"/>
      <c r="B112" s="29"/>
      <c r="C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</row>
    <row r="113" spans="1:56" ht="15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</row>
    <row r="114" spans="1:56" ht="15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</row>
    <row r="115" spans="1:56" ht="15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</row>
    <row r="116" spans="1:56" ht="15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</row>
    <row r="117" spans="1:56" ht="15.75" customHeight="1"/>
    <row r="118" spans="1:56" ht="15.75" customHeight="1"/>
    <row r="119" spans="1:56" ht="15.75" customHeight="1"/>
    <row r="120" spans="1:56" ht="15.75" customHeight="1"/>
    <row r="121" spans="1:56" ht="15.75" customHeight="1"/>
    <row r="122" spans="1:56" ht="15.75" customHeight="1"/>
    <row r="123" spans="1:56" ht="15.75" customHeight="1"/>
    <row r="124" spans="1:56" ht="15.75" customHeight="1"/>
    <row r="125" spans="1:56" ht="15.75" customHeight="1"/>
    <row r="126" spans="1:56" ht="15.75" customHeight="1"/>
    <row r="127" spans="1:56" ht="15.75" customHeight="1"/>
    <row r="128" spans="1:5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ageMargins left="0.75" right="0.75" top="1" bottom="1" header="0" footer="0"/>
  <pageSetup paperSize="9" orientation="portrait"/>
  <colBreaks count="1" manualBreakCount="1">
    <brk id="4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topLeftCell="A106" workbookViewId="0">
      <selection activeCell="C121" sqref="C121"/>
    </sheetView>
  </sheetViews>
  <sheetFormatPr baseColWidth="10" defaultColWidth="11.1640625" defaultRowHeight="15" customHeight="1"/>
  <cols>
    <col min="1" max="1" width="10.5" customWidth="1"/>
    <col min="2" max="2" width="41" customWidth="1"/>
    <col min="3" max="3" width="23.1640625" customWidth="1"/>
    <col min="4" max="4" width="27.6640625" customWidth="1"/>
    <col min="5" max="5" width="22.6640625" customWidth="1"/>
    <col min="6" max="6" width="23.33203125" customWidth="1"/>
    <col min="7" max="7" width="17.5" customWidth="1"/>
    <col min="8" max="8" width="20" customWidth="1"/>
    <col min="9" max="9" width="16.5" customWidth="1"/>
    <col min="10" max="10" width="16.33203125" customWidth="1"/>
    <col min="11" max="26" width="10.5" customWidth="1"/>
  </cols>
  <sheetData>
    <row r="1" spans="1:10" ht="16">
      <c r="A1" s="149" t="s">
        <v>0</v>
      </c>
      <c r="B1" s="150"/>
    </row>
    <row r="2" spans="1:10" ht="16">
      <c r="A2" s="1" t="s">
        <v>1</v>
      </c>
      <c r="B2" s="6"/>
      <c r="C2" s="18" t="s">
        <v>2</v>
      </c>
      <c r="D2" s="23" t="s">
        <v>13</v>
      </c>
      <c r="E2" s="25" t="s">
        <v>27</v>
      </c>
      <c r="F2" s="25" t="s">
        <v>37</v>
      </c>
      <c r="G2" s="25" t="s">
        <v>38</v>
      </c>
      <c r="H2" s="25" t="s">
        <v>39</v>
      </c>
      <c r="I2" s="27" t="s">
        <v>40</v>
      </c>
      <c r="J2" s="27" t="s">
        <v>42</v>
      </c>
    </row>
    <row r="3" spans="1:10" ht="16">
      <c r="A3" s="29">
        <v>3110</v>
      </c>
      <c r="B3" s="30" t="s">
        <v>49</v>
      </c>
      <c r="C3" s="31"/>
      <c r="D3" s="34">
        <v>0</v>
      </c>
      <c r="E3" s="36">
        <v>1640</v>
      </c>
      <c r="F3" s="38"/>
      <c r="G3" s="40">
        <v>150</v>
      </c>
      <c r="H3" s="40">
        <v>0</v>
      </c>
      <c r="I3" s="42">
        <v>-20287</v>
      </c>
      <c r="J3" s="40">
        <v>0</v>
      </c>
    </row>
    <row r="4" spans="1:10" ht="16">
      <c r="A4" s="29">
        <v>3120</v>
      </c>
      <c r="B4" s="30" t="s">
        <v>53</v>
      </c>
      <c r="C4" s="31"/>
      <c r="D4" s="34">
        <v>0</v>
      </c>
      <c r="E4" s="36"/>
      <c r="F4" s="38"/>
      <c r="G4" s="38"/>
      <c r="H4" s="40">
        <v>0</v>
      </c>
      <c r="I4" s="44">
        <v>0</v>
      </c>
      <c r="J4" s="40">
        <v>20000</v>
      </c>
    </row>
    <row r="5" spans="1:10" ht="16">
      <c r="A5" s="29">
        <v>3400</v>
      </c>
      <c r="B5" s="30" t="s">
        <v>55</v>
      </c>
      <c r="C5" s="46">
        <v>1575000</v>
      </c>
      <c r="D5" s="34">
        <v>1350000</v>
      </c>
      <c r="E5" s="36">
        <v>1020000</v>
      </c>
      <c r="F5" s="48">
        <v>1020000</v>
      </c>
      <c r="G5" s="40">
        <v>800000</v>
      </c>
      <c r="H5" s="40">
        <v>800000</v>
      </c>
      <c r="I5" s="40">
        <v>320000</v>
      </c>
      <c r="J5" s="40">
        <v>320000</v>
      </c>
    </row>
    <row r="6" spans="1:10" ht="16">
      <c r="A6" s="29">
        <v>3440</v>
      </c>
      <c r="B6" s="30" t="s">
        <v>56</v>
      </c>
      <c r="C6" s="46">
        <v>580000</v>
      </c>
      <c r="D6" s="34">
        <v>490000</v>
      </c>
      <c r="E6" s="36">
        <v>577065</v>
      </c>
      <c r="F6" s="48">
        <v>435000</v>
      </c>
      <c r="G6" s="40">
        <v>493612</v>
      </c>
      <c r="H6" s="40">
        <v>200000</v>
      </c>
      <c r="I6" s="44">
        <v>0</v>
      </c>
      <c r="J6" s="40">
        <v>50000</v>
      </c>
    </row>
    <row r="7" spans="1:10" ht="16">
      <c r="A7" s="29">
        <v>3450</v>
      </c>
      <c r="B7" s="30" t="s">
        <v>59</v>
      </c>
      <c r="C7" s="46">
        <v>50000</v>
      </c>
      <c r="D7" s="51"/>
      <c r="F7" s="33"/>
    </row>
    <row r="8" spans="1:10" ht="16">
      <c r="A8" s="29">
        <v>3480</v>
      </c>
      <c r="B8" s="30" t="s">
        <v>60</v>
      </c>
      <c r="C8" s="46">
        <v>-750000</v>
      </c>
      <c r="D8" s="34">
        <v>-950000</v>
      </c>
      <c r="E8" s="36">
        <v>-528925</v>
      </c>
      <c r="F8" s="48">
        <v>-530000</v>
      </c>
      <c r="G8" s="42">
        <v>-397448</v>
      </c>
      <c r="H8" s="42">
        <v>-400000</v>
      </c>
      <c r="I8" s="42">
        <v>-379916</v>
      </c>
      <c r="J8" s="42">
        <v>-379916</v>
      </c>
    </row>
    <row r="9" spans="1:10" ht="16">
      <c r="A9" s="29">
        <v>3490</v>
      </c>
      <c r="B9" s="30" t="s">
        <v>61</v>
      </c>
      <c r="C9" s="46">
        <v>70000</v>
      </c>
      <c r="D9" s="34">
        <v>0</v>
      </c>
      <c r="E9" s="36">
        <v>3028.43</v>
      </c>
      <c r="F9" s="38"/>
      <c r="G9" s="40">
        <v>359616.31</v>
      </c>
      <c r="H9" s="40">
        <v>0</v>
      </c>
      <c r="I9" s="40">
        <v>10765.15</v>
      </c>
      <c r="J9" s="42">
        <v>-100000</v>
      </c>
    </row>
    <row r="10" spans="1:10" ht="16">
      <c r="A10" s="29">
        <v>3610</v>
      </c>
      <c r="B10" s="30" t="s">
        <v>62</v>
      </c>
      <c r="C10" s="46">
        <v>15000</v>
      </c>
      <c r="D10" s="34">
        <v>0</v>
      </c>
      <c r="E10" s="36"/>
      <c r="F10" s="38"/>
      <c r="G10" s="38"/>
      <c r="H10" s="38"/>
      <c r="I10" s="38"/>
      <c r="J10" s="38"/>
    </row>
    <row r="11" spans="1:10" ht="16">
      <c r="A11" s="29">
        <v>3630</v>
      </c>
      <c r="B11" s="30" t="s">
        <v>63</v>
      </c>
      <c r="C11" s="54"/>
      <c r="D11" s="34">
        <v>0</v>
      </c>
      <c r="E11" s="36"/>
      <c r="F11" s="38"/>
      <c r="G11" s="38"/>
      <c r="H11" s="38"/>
      <c r="I11" s="5"/>
      <c r="J11" s="38"/>
    </row>
    <row r="12" spans="1:10" ht="16">
      <c r="A12" s="29">
        <v>3900</v>
      </c>
      <c r="B12" s="30" t="s">
        <v>64</v>
      </c>
      <c r="C12" s="46">
        <v>50000</v>
      </c>
      <c r="D12" s="34">
        <v>0</v>
      </c>
      <c r="E12" s="36"/>
      <c r="F12" s="38"/>
      <c r="G12" s="38"/>
      <c r="H12" s="40">
        <v>235000</v>
      </c>
      <c r="I12" s="44">
        <v>0</v>
      </c>
      <c r="J12" s="40">
        <v>230000</v>
      </c>
    </row>
    <row r="13" spans="1:10" ht="16">
      <c r="A13" s="29">
        <v>3910</v>
      </c>
      <c r="B13" s="30" t="s">
        <v>65</v>
      </c>
      <c r="C13" s="46">
        <v>550000</v>
      </c>
      <c r="D13" s="34">
        <v>505000</v>
      </c>
      <c r="E13" s="36">
        <v>514180</v>
      </c>
      <c r="F13" s="48">
        <v>450000</v>
      </c>
      <c r="G13" s="40">
        <f>335652+127218</f>
        <v>462870</v>
      </c>
      <c r="H13" s="40">
        <v>340000</v>
      </c>
      <c r="I13" s="40">
        <v>172497.21</v>
      </c>
      <c r="J13" s="40">
        <v>375000</v>
      </c>
    </row>
    <row r="14" spans="1:10" ht="16">
      <c r="A14" s="29">
        <v>3920</v>
      </c>
      <c r="B14" s="30" t="s">
        <v>66</v>
      </c>
      <c r="C14" s="54"/>
      <c r="D14" s="34">
        <v>0</v>
      </c>
      <c r="E14" s="36">
        <v>822</v>
      </c>
      <c r="F14" s="38"/>
      <c r="G14" s="40"/>
      <c r="H14" s="40">
        <v>0</v>
      </c>
      <c r="I14" s="40">
        <v>56580.09</v>
      </c>
      <c r="J14" s="40">
        <v>0</v>
      </c>
    </row>
    <row r="15" spans="1:10" ht="16">
      <c r="A15" s="29">
        <v>3940</v>
      </c>
      <c r="B15" s="30" t="s">
        <v>67</v>
      </c>
      <c r="C15" s="46"/>
      <c r="D15" s="34">
        <v>0</v>
      </c>
      <c r="E15" s="36"/>
      <c r="F15" s="38"/>
      <c r="G15" s="38"/>
      <c r="H15" s="38"/>
      <c r="I15" s="38"/>
      <c r="J15" s="38"/>
    </row>
    <row r="16" spans="1:10" ht="16">
      <c r="A16" s="29">
        <v>3950</v>
      </c>
      <c r="B16" s="30" t="s">
        <v>68</v>
      </c>
      <c r="C16" s="46"/>
      <c r="D16" s="34">
        <v>0</v>
      </c>
      <c r="E16" s="36">
        <v>14953</v>
      </c>
      <c r="F16" s="38"/>
      <c r="G16" s="38"/>
      <c r="H16" s="40">
        <v>0</v>
      </c>
      <c r="I16" s="42">
        <v>-30200</v>
      </c>
      <c r="J16" s="40">
        <v>0</v>
      </c>
    </row>
    <row r="17" spans="1:10" ht="16">
      <c r="A17" s="29">
        <v>3960</v>
      </c>
      <c r="B17" s="30" t="s">
        <v>69</v>
      </c>
      <c r="C17" s="46"/>
      <c r="D17" s="34">
        <v>0</v>
      </c>
      <c r="E17" s="36"/>
      <c r="F17" s="38"/>
      <c r="G17" s="38"/>
      <c r="H17" s="38"/>
      <c r="I17" s="38"/>
      <c r="J17" s="38"/>
    </row>
    <row r="18" spans="1:10" ht="16">
      <c r="A18" s="29">
        <v>3970</v>
      </c>
      <c r="B18" s="30" t="s">
        <v>70</v>
      </c>
      <c r="C18" s="46"/>
      <c r="D18" s="34">
        <v>0</v>
      </c>
      <c r="E18" s="36"/>
      <c r="F18" s="38"/>
      <c r="G18" s="40">
        <v>3120</v>
      </c>
      <c r="H18" s="40">
        <v>0</v>
      </c>
      <c r="I18" s="44">
        <v>0</v>
      </c>
      <c r="J18" s="40">
        <v>0</v>
      </c>
    </row>
    <row r="19" spans="1:10" ht="16">
      <c r="A19" s="29">
        <v>3990</v>
      </c>
      <c r="B19" s="30" t="s">
        <v>71</v>
      </c>
      <c r="C19" s="46">
        <v>-600000</v>
      </c>
      <c r="D19" s="34">
        <v>270000</v>
      </c>
      <c r="E19" s="36">
        <v>273821</v>
      </c>
      <c r="F19" s="38"/>
      <c r="G19" s="40">
        <v>10246.1</v>
      </c>
      <c r="H19" s="40">
        <v>220000</v>
      </c>
      <c r="I19" s="40">
        <v>177114.16</v>
      </c>
      <c r="J19" s="40">
        <v>235000</v>
      </c>
    </row>
    <row r="20" spans="1:10" ht="16">
      <c r="A20" s="29">
        <v>3991</v>
      </c>
      <c r="B20" s="30" t="s">
        <v>72</v>
      </c>
      <c r="C20" s="46"/>
      <c r="D20" s="57">
        <v>0</v>
      </c>
      <c r="E20" s="58">
        <v>-3199</v>
      </c>
      <c r="F20" s="59"/>
      <c r="G20" s="61"/>
      <c r="H20" s="61"/>
      <c r="I20" s="61"/>
      <c r="J20" s="61"/>
    </row>
    <row r="21" spans="1:10" ht="15.75" customHeight="1">
      <c r="A21" s="63" t="s">
        <v>74</v>
      </c>
      <c r="B21" s="64"/>
      <c r="C21" s="66">
        <f>SUM(C3:C20)</f>
        <v>1540000</v>
      </c>
      <c r="D21" s="67">
        <f t="shared" ref="C21:E21" si="0">SUM(D3:D20)</f>
        <v>1665000</v>
      </c>
      <c r="E21" s="68">
        <f t="shared" si="0"/>
        <v>1873385.43</v>
      </c>
      <c r="F21" s="70">
        <f>SUM(F4:F19)</f>
        <v>1375000</v>
      </c>
      <c r="G21" s="72">
        <f>SUM(G3:G19)</f>
        <v>1732166.4100000001</v>
      </c>
      <c r="H21" s="72">
        <f>SUM(H4:H19)</f>
        <v>1395000</v>
      </c>
      <c r="I21" s="72">
        <f>SUM(I3:I19)</f>
        <v>306553.61</v>
      </c>
      <c r="J21" s="72">
        <f>SUM(J4:J19)</f>
        <v>750084</v>
      </c>
    </row>
    <row r="22" spans="1:10" ht="15.75" customHeight="1">
      <c r="A22" s="29"/>
      <c r="B22" s="30"/>
      <c r="C22" s="54"/>
      <c r="D22" s="75"/>
      <c r="E22" s="76"/>
      <c r="F22" s="77"/>
      <c r="G22" s="77"/>
      <c r="H22" s="77"/>
      <c r="I22" s="77"/>
      <c r="J22" s="77"/>
    </row>
    <row r="23" spans="1:10" ht="15.75" customHeight="1">
      <c r="A23" s="29" t="s">
        <v>75</v>
      </c>
      <c r="B23" s="30"/>
      <c r="C23" s="54"/>
      <c r="D23" s="34">
        <v>420000</v>
      </c>
      <c r="E23" s="36">
        <v>372087.55</v>
      </c>
      <c r="F23" s="48">
        <v>420000</v>
      </c>
      <c r="G23" s="40">
        <f>362397.02+42913.14</f>
        <v>405310.16000000003</v>
      </c>
      <c r="H23" s="40">
        <v>405000</v>
      </c>
      <c r="I23" s="40">
        <v>362667.04</v>
      </c>
      <c r="J23" s="40">
        <v>390000</v>
      </c>
    </row>
    <row r="24" spans="1:10" ht="15.75" customHeight="1">
      <c r="A24" s="29">
        <v>5010</v>
      </c>
      <c r="B24" s="30" t="s">
        <v>76</v>
      </c>
      <c r="C24" s="54">
        <v>405625</v>
      </c>
      <c r="D24" s="34">
        <v>0</v>
      </c>
      <c r="E24" s="36">
        <v>1000</v>
      </c>
      <c r="F24" s="48">
        <v>0</v>
      </c>
      <c r="G24" s="40">
        <v>2575</v>
      </c>
      <c r="H24" s="40">
        <v>0</v>
      </c>
      <c r="I24" s="44">
        <v>0</v>
      </c>
      <c r="J24" s="40">
        <v>0</v>
      </c>
    </row>
    <row r="25" spans="1:10" ht="15.75" customHeight="1">
      <c r="A25" s="29">
        <v>5011</v>
      </c>
      <c r="B25" s="30" t="s">
        <v>77</v>
      </c>
      <c r="C25" s="54"/>
      <c r="D25" s="34">
        <v>0</v>
      </c>
      <c r="E25" s="36">
        <v>44650.51</v>
      </c>
      <c r="F25" s="48"/>
      <c r="G25" s="40"/>
      <c r="H25" s="40"/>
      <c r="I25" s="44"/>
      <c r="J25" s="40"/>
    </row>
    <row r="26" spans="1:10" ht="15.75" customHeight="1">
      <c r="A26" s="29">
        <v>5020</v>
      </c>
      <c r="B26" s="30" t="s">
        <v>78</v>
      </c>
      <c r="C26" s="54">
        <v>48675</v>
      </c>
      <c r="D26" s="34">
        <f>D23*0.102</f>
        <v>42840</v>
      </c>
      <c r="E26" s="36"/>
      <c r="F26" s="48">
        <f>F23*0.102</f>
        <v>42840</v>
      </c>
      <c r="G26" s="38"/>
      <c r="H26" s="40">
        <f>H23*0.102</f>
        <v>41310</v>
      </c>
      <c r="I26" s="40">
        <v>43520.03</v>
      </c>
      <c r="J26" s="40">
        <f>J23*0.102</f>
        <v>39780</v>
      </c>
    </row>
    <row r="27" spans="1:10" ht="15.75" customHeight="1">
      <c r="A27" s="29">
        <v>5090</v>
      </c>
      <c r="B27" s="30" t="s">
        <v>79</v>
      </c>
      <c r="C27" s="54"/>
      <c r="D27" s="51"/>
      <c r="F27" s="33"/>
    </row>
    <row r="28" spans="1:10" ht="15.75" customHeight="1">
      <c r="A28" s="29">
        <v>5250</v>
      </c>
      <c r="B28" s="30" t="s">
        <v>80</v>
      </c>
      <c r="C28" s="54">
        <v>8000</v>
      </c>
      <c r="D28" s="34">
        <v>9000</v>
      </c>
      <c r="E28" s="36">
        <v>8866</v>
      </c>
      <c r="F28" s="48">
        <v>0</v>
      </c>
      <c r="G28" s="40">
        <v>8760</v>
      </c>
      <c r="H28" s="40">
        <v>0</v>
      </c>
      <c r="I28" s="40">
        <v>14719</v>
      </c>
      <c r="J28" s="40">
        <v>0</v>
      </c>
    </row>
    <row r="29" spans="1:10" ht="15.75" customHeight="1">
      <c r="A29" s="29">
        <v>5270</v>
      </c>
      <c r="B29" s="30" t="s">
        <v>81</v>
      </c>
      <c r="C29" s="54">
        <v>5000</v>
      </c>
      <c r="D29" s="78">
        <v>4500</v>
      </c>
      <c r="E29" s="79">
        <v>4026</v>
      </c>
      <c r="F29" s="48">
        <v>0</v>
      </c>
      <c r="G29" s="40">
        <v>4392</v>
      </c>
      <c r="H29" s="40">
        <v>0</v>
      </c>
      <c r="I29" s="40">
        <v>4392</v>
      </c>
      <c r="J29" s="40">
        <v>0</v>
      </c>
    </row>
    <row r="30" spans="1:10" ht="15.75" customHeight="1">
      <c r="A30" s="29">
        <v>5290</v>
      </c>
      <c r="B30" s="30" t="s">
        <v>82</v>
      </c>
      <c r="C30" s="54"/>
      <c r="D30" s="78">
        <v>0</v>
      </c>
      <c r="E30" s="79">
        <v>-12892</v>
      </c>
      <c r="F30" s="48">
        <v>0</v>
      </c>
      <c r="G30" s="38"/>
      <c r="H30" s="40">
        <v>0</v>
      </c>
      <c r="I30" s="42">
        <v>-14719</v>
      </c>
      <c r="J30" s="40">
        <v>0</v>
      </c>
    </row>
    <row r="31" spans="1:10" ht="15.75" customHeight="1">
      <c r="A31" s="29">
        <v>5310</v>
      </c>
      <c r="B31" s="30" t="s">
        <v>83</v>
      </c>
      <c r="C31" s="54"/>
      <c r="D31" s="78"/>
      <c r="E31" s="79">
        <v>-79.2</v>
      </c>
      <c r="F31" s="48"/>
      <c r="G31" s="38"/>
      <c r="H31" s="40"/>
      <c r="I31" s="42"/>
      <c r="J31" s="40"/>
    </row>
    <row r="32" spans="1:10" ht="15.75" customHeight="1">
      <c r="A32" s="29">
        <v>5330</v>
      </c>
      <c r="B32" s="30" t="s">
        <v>84</v>
      </c>
      <c r="C32" s="54"/>
      <c r="D32" s="78">
        <v>0</v>
      </c>
      <c r="E32" s="81"/>
      <c r="F32" s="48">
        <v>0</v>
      </c>
      <c r="G32" s="38"/>
      <c r="H32" s="40">
        <v>0</v>
      </c>
      <c r="I32" s="40">
        <v>2000</v>
      </c>
      <c r="J32" s="40">
        <v>0</v>
      </c>
    </row>
    <row r="33" spans="1:10" ht="15.75" customHeight="1">
      <c r="A33" s="29">
        <v>5350</v>
      </c>
      <c r="B33" s="30" t="s">
        <v>85</v>
      </c>
      <c r="C33" s="54"/>
      <c r="D33" s="78">
        <v>0</v>
      </c>
      <c r="E33" s="79">
        <v>-7298</v>
      </c>
      <c r="F33" s="48">
        <v>0</v>
      </c>
      <c r="G33" s="38"/>
      <c r="H33" s="40">
        <v>0</v>
      </c>
      <c r="I33" s="40">
        <v>0</v>
      </c>
      <c r="J33" s="40">
        <v>0</v>
      </c>
    </row>
    <row r="34" spans="1:10" ht="15.75" customHeight="1">
      <c r="A34" s="29">
        <v>5400</v>
      </c>
      <c r="B34" s="30" t="s">
        <v>86</v>
      </c>
      <c r="C34" s="54">
        <v>57193</v>
      </c>
      <c r="D34" s="34">
        <f>D23*0.141</f>
        <v>59219.999999999993</v>
      </c>
      <c r="E34" s="36">
        <v>57969.39</v>
      </c>
      <c r="F34" s="48">
        <f>F23*0.141</f>
        <v>59219.999999999993</v>
      </c>
      <c r="G34" s="40">
        <v>53202.6</v>
      </c>
      <c r="H34" s="40">
        <f>H23*0.141</f>
        <v>57104.999999999993</v>
      </c>
      <c r="I34" s="40">
        <v>52495.199999999997</v>
      </c>
      <c r="J34" s="40">
        <f>J23*0.141</f>
        <v>54989.999999999993</v>
      </c>
    </row>
    <row r="35" spans="1:10" ht="15.75" customHeight="1">
      <c r="A35" s="29">
        <v>5411</v>
      </c>
      <c r="B35" s="30" t="s">
        <v>87</v>
      </c>
      <c r="C35" s="54">
        <v>6863</v>
      </c>
      <c r="D35" s="34">
        <f>ROUND(D26*0.141,0)</f>
        <v>6040</v>
      </c>
      <c r="E35" s="36">
        <v>2869.51</v>
      </c>
      <c r="F35" s="48">
        <f>ROUND(F26*0.141,0)</f>
        <v>6040</v>
      </c>
      <c r="G35" s="40">
        <v>6131.76</v>
      </c>
      <c r="H35" s="40">
        <f>ROUND(H26*0.141,0)</f>
        <v>5825</v>
      </c>
      <c r="I35" s="40">
        <v>6136.34</v>
      </c>
      <c r="J35" s="40">
        <f>ROUND(J26*0.141,0)</f>
        <v>5609</v>
      </c>
    </row>
    <row r="36" spans="1:10" ht="15.75" customHeight="1">
      <c r="A36" s="29">
        <v>5510</v>
      </c>
      <c r="B36" s="30" t="s">
        <v>88</v>
      </c>
      <c r="C36" s="54">
        <v>1000</v>
      </c>
      <c r="D36" s="34">
        <v>2000</v>
      </c>
      <c r="E36" s="36"/>
      <c r="F36" s="48">
        <v>2000</v>
      </c>
      <c r="G36" s="38"/>
      <c r="H36" s="40">
        <v>0</v>
      </c>
      <c r="I36" s="40">
        <v>0</v>
      </c>
      <c r="J36" s="40">
        <v>1500</v>
      </c>
    </row>
    <row r="37" spans="1:10" ht="15.75" customHeight="1">
      <c r="A37" s="29">
        <v>5900</v>
      </c>
      <c r="B37" s="30" t="s">
        <v>89</v>
      </c>
      <c r="C37" s="54">
        <v>1000</v>
      </c>
      <c r="D37" s="34">
        <v>0</v>
      </c>
      <c r="E37" s="36"/>
      <c r="F37" s="48">
        <v>0</v>
      </c>
      <c r="G37" s="38"/>
      <c r="H37" s="40">
        <v>0</v>
      </c>
      <c r="I37" s="42">
        <v>-8944</v>
      </c>
      <c r="J37" s="40">
        <v>0</v>
      </c>
    </row>
    <row r="38" spans="1:10" ht="15.75" customHeight="1">
      <c r="A38" s="29">
        <v>5910</v>
      </c>
      <c r="B38" s="30" t="s">
        <v>90</v>
      </c>
      <c r="C38" s="54">
        <v>1000</v>
      </c>
      <c r="D38" s="34">
        <v>1000</v>
      </c>
      <c r="E38" s="36"/>
      <c r="F38" s="48">
        <v>1000</v>
      </c>
      <c r="G38" s="38"/>
      <c r="H38" s="40">
        <v>1000</v>
      </c>
      <c r="I38" s="40">
        <v>0</v>
      </c>
      <c r="J38" s="40">
        <v>1000</v>
      </c>
    </row>
    <row r="39" spans="1:10" ht="15.75" customHeight="1">
      <c r="A39" s="29">
        <v>5945</v>
      </c>
      <c r="B39" s="30" t="s">
        <v>91</v>
      </c>
      <c r="C39" s="54">
        <v>8000</v>
      </c>
      <c r="D39" s="34">
        <v>10000</v>
      </c>
      <c r="E39" s="36">
        <v>8360.5300000000007</v>
      </c>
      <c r="F39" s="48">
        <v>10000</v>
      </c>
      <c r="G39" s="40">
        <v>8208</v>
      </c>
      <c r="H39" s="40">
        <v>12000</v>
      </c>
      <c r="I39" s="40">
        <v>14719</v>
      </c>
      <c r="J39" s="40">
        <v>12000</v>
      </c>
    </row>
    <row r="40" spans="1:10" ht="15.75" customHeight="1">
      <c r="A40" s="29">
        <v>5990</v>
      </c>
      <c r="B40" s="30" t="s">
        <v>92</v>
      </c>
      <c r="C40" s="54"/>
      <c r="D40" s="57">
        <v>5000</v>
      </c>
      <c r="E40" s="58"/>
      <c r="F40" s="83">
        <v>5000</v>
      </c>
      <c r="G40" s="61">
        <v>38.35</v>
      </c>
      <c r="H40" s="61">
        <v>0</v>
      </c>
      <c r="I40" s="61">
        <v>11026.55</v>
      </c>
      <c r="J40" s="61">
        <v>0</v>
      </c>
    </row>
    <row r="41" spans="1:10" ht="15.75" customHeight="1">
      <c r="A41" s="63" t="s">
        <v>93</v>
      </c>
      <c r="B41" s="64"/>
      <c r="C41" s="66">
        <f>SUM(C24:C40)</f>
        <v>542356</v>
      </c>
      <c r="D41" s="85">
        <f t="shared" ref="D41:J41" si="1">SUM(D23:D40)</f>
        <v>559600</v>
      </c>
      <c r="E41" s="87">
        <f t="shared" si="1"/>
        <v>479560.29000000004</v>
      </c>
      <c r="F41" s="89">
        <f t="shared" si="1"/>
        <v>546100</v>
      </c>
      <c r="G41" s="88">
        <f t="shared" si="1"/>
        <v>488617.87</v>
      </c>
      <c r="H41" s="88">
        <f t="shared" si="1"/>
        <v>522240</v>
      </c>
      <c r="I41" s="88">
        <f t="shared" si="1"/>
        <v>488012.16</v>
      </c>
      <c r="J41" s="88">
        <f t="shared" si="1"/>
        <v>504879</v>
      </c>
    </row>
    <row r="42" spans="1:10" ht="15.75" customHeight="1">
      <c r="A42" s="29"/>
      <c r="B42" s="30"/>
      <c r="D42" s="75"/>
      <c r="E42" s="76"/>
      <c r="F42" s="77"/>
      <c r="G42" s="77"/>
      <c r="H42" s="77"/>
      <c r="I42" s="77"/>
      <c r="J42" s="77"/>
    </row>
    <row r="43" spans="1:10" ht="15.75" customHeight="1">
      <c r="A43" s="154" t="s">
        <v>94</v>
      </c>
      <c r="B43" s="152"/>
      <c r="D43" s="51"/>
      <c r="E43" s="33"/>
      <c r="F43" s="33"/>
      <c r="G43" s="33"/>
      <c r="H43" s="33"/>
      <c r="I43" s="33"/>
      <c r="J43" s="33"/>
    </row>
    <row r="44" spans="1:10" ht="15.75" customHeight="1">
      <c r="A44" s="44">
        <v>6000</v>
      </c>
      <c r="B44" s="91" t="s">
        <v>95</v>
      </c>
      <c r="C44" s="36">
        <v>0</v>
      </c>
      <c r="D44" s="34">
        <v>0</v>
      </c>
      <c r="E44" s="36"/>
      <c r="F44" s="38"/>
      <c r="G44" s="40">
        <v>0</v>
      </c>
      <c r="H44" s="40">
        <v>0</v>
      </c>
      <c r="I44" s="40">
        <v>0</v>
      </c>
      <c r="J44" s="40">
        <v>0</v>
      </c>
    </row>
    <row r="45" spans="1:10" ht="15.75" customHeight="1">
      <c r="A45" s="44">
        <v>6010</v>
      </c>
      <c r="B45" s="91" t="s">
        <v>96</v>
      </c>
      <c r="C45" s="36">
        <v>0</v>
      </c>
      <c r="D45" s="34">
        <v>0</v>
      </c>
      <c r="E45" s="36"/>
      <c r="F45" s="48">
        <v>0</v>
      </c>
      <c r="G45" s="40">
        <v>19929.8</v>
      </c>
      <c r="H45" s="40">
        <v>75000</v>
      </c>
      <c r="I45" s="40">
        <v>128621.58</v>
      </c>
      <c r="J45" s="40">
        <v>75000</v>
      </c>
    </row>
    <row r="46" spans="1:10" ht="15.75" customHeight="1">
      <c r="A46" s="44">
        <v>6015</v>
      </c>
      <c r="B46" s="91" t="s">
        <v>97</v>
      </c>
      <c r="C46" s="36">
        <v>0</v>
      </c>
      <c r="D46" s="34">
        <v>0</v>
      </c>
      <c r="E46" s="36">
        <v>6901</v>
      </c>
      <c r="F46" s="48"/>
      <c r="G46" s="40"/>
      <c r="H46" s="40"/>
      <c r="I46" s="40"/>
      <c r="J46" s="40"/>
    </row>
    <row r="47" spans="1:10" ht="15.75" customHeight="1">
      <c r="A47" s="155" t="s">
        <v>98</v>
      </c>
      <c r="B47" s="156"/>
      <c r="C47" s="11">
        <f t="shared" ref="C47:E47" si="2">SUM(C44:C46)</f>
        <v>0</v>
      </c>
      <c r="D47" s="92">
        <f t="shared" si="2"/>
        <v>0</v>
      </c>
      <c r="E47" s="93">
        <f t="shared" si="2"/>
        <v>6901</v>
      </c>
      <c r="F47" s="70">
        <f t="shared" ref="F47:G47" si="3">SUM(F44:F45)</f>
        <v>0</v>
      </c>
      <c r="G47" s="72">
        <f t="shared" si="3"/>
        <v>19929.8</v>
      </c>
      <c r="H47" s="72">
        <f>H45</f>
        <v>75000</v>
      </c>
      <c r="I47" s="72">
        <f>SUM(I44:I45)</f>
        <v>128621.58</v>
      </c>
      <c r="J47" s="72">
        <f>J45</f>
        <v>75000</v>
      </c>
    </row>
    <row r="48" spans="1:10" ht="15.75" customHeight="1">
      <c r="D48" s="94"/>
      <c r="E48" s="95"/>
      <c r="F48" s="38"/>
      <c r="G48" s="38"/>
      <c r="H48" s="38"/>
      <c r="I48" s="38"/>
      <c r="J48" s="38"/>
    </row>
    <row r="49" spans="1:10" ht="15.75" customHeight="1">
      <c r="A49" s="29" t="s">
        <v>99</v>
      </c>
      <c r="B49" s="30"/>
      <c r="D49" s="51"/>
      <c r="F49" s="33"/>
    </row>
    <row r="50" spans="1:10" ht="15.75" customHeight="1">
      <c r="A50" s="29">
        <v>4110</v>
      </c>
      <c r="B50" s="30" t="s">
        <v>100</v>
      </c>
      <c r="C50" s="33"/>
      <c r="D50" s="34">
        <v>0</v>
      </c>
      <c r="E50" s="36"/>
      <c r="F50" s="38"/>
      <c r="G50" s="38"/>
      <c r="H50" s="40">
        <v>0</v>
      </c>
      <c r="I50" s="40">
        <v>2762</v>
      </c>
      <c r="J50" s="40">
        <v>0</v>
      </c>
    </row>
    <row r="51" spans="1:10" ht="15.75" customHeight="1">
      <c r="A51" s="29">
        <v>4120</v>
      </c>
      <c r="B51" s="30" t="s">
        <v>101</v>
      </c>
      <c r="C51" s="54">
        <v>10000</v>
      </c>
      <c r="D51" s="34">
        <v>8000</v>
      </c>
      <c r="E51" s="36">
        <v>7872</v>
      </c>
      <c r="F51" s="38"/>
      <c r="G51" s="38"/>
      <c r="H51" s="40">
        <v>4500</v>
      </c>
      <c r="I51" s="40">
        <v>0</v>
      </c>
      <c r="J51" s="40">
        <v>0</v>
      </c>
    </row>
    <row r="52" spans="1:10" ht="15.75" customHeight="1">
      <c r="A52" s="29">
        <v>4150</v>
      </c>
      <c r="B52" s="30" t="s">
        <v>102</v>
      </c>
      <c r="C52" s="54"/>
      <c r="D52" s="51"/>
      <c r="F52" s="33"/>
    </row>
    <row r="53" spans="1:10" ht="15.75" customHeight="1">
      <c r="A53" s="29">
        <v>4200</v>
      </c>
      <c r="B53" s="30" t="s">
        <v>103</v>
      </c>
      <c r="C53" s="54">
        <v>2000</v>
      </c>
      <c r="D53" s="34">
        <v>2400</v>
      </c>
      <c r="E53" s="36">
        <v>2400</v>
      </c>
      <c r="F53" s="38"/>
      <c r="G53" s="40">
        <v>2400</v>
      </c>
      <c r="H53" s="40">
        <v>3500</v>
      </c>
      <c r="I53" s="40">
        <v>0</v>
      </c>
      <c r="J53" s="40">
        <v>3500</v>
      </c>
    </row>
    <row r="54" spans="1:10" ht="15.75" customHeight="1">
      <c r="A54" s="29">
        <v>4300</v>
      </c>
      <c r="B54" s="30" t="s">
        <v>104</v>
      </c>
      <c r="C54" s="54">
        <v>5000</v>
      </c>
      <c r="D54" s="34">
        <v>4000</v>
      </c>
      <c r="E54" s="36"/>
      <c r="F54" s="48">
        <v>4000</v>
      </c>
      <c r="G54" s="38"/>
      <c r="H54" s="40">
        <v>0</v>
      </c>
      <c r="I54" s="40">
        <v>1000</v>
      </c>
      <c r="J54" s="40">
        <v>0</v>
      </c>
    </row>
    <row r="55" spans="1:10" ht="15.75" customHeight="1">
      <c r="A55" s="29">
        <v>4350</v>
      </c>
      <c r="B55" s="30" t="s">
        <v>105</v>
      </c>
      <c r="C55" s="54"/>
      <c r="D55" s="51"/>
      <c r="F55" s="33"/>
    </row>
    <row r="56" spans="1:10" ht="15.75" customHeight="1">
      <c r="A56" s="29">
        <v>4500</v>
      </c>
      <c r="B56" s="30" t="s">
        <v>106</v>
      </c>
      <c r="C56" s="54"/>
      <c r="D56" s="34">
        <v>5000</v>
      </c>
      <c r="E56" s="36"/>
      <c r="F56" s="48">
        <v>5000</v>
      </c>
      <c r="G56" s="38"/>
      <c r="H56" s="40">
        <v>5000</v>
      </c>
      <c r="I56" s="40">
        <v>1000</v>
      </c>
      <c r="J56" s="40">
        <v>5000</v>
      </c>
    </row>
    <row r="57" spans="1:10" ht="15.75" customHeight="1">
      <c r="A57" s="29">
        <v>4510</v>
      </c>
      <c r="B57" s="30" t="s">
        <v>107</v>
      </c>
      <c r="C57" s="54">
        <v>15000</v>
      </c>
      <c r="D57" s="51"/>
      <c r="E57" s="36">
        <v>571</v>
      </c>
      <c r="F57" s="38"/>
      <c r="G57" s="38"/>
      <c r="H57" s="40">
        <v>0</v>
      </c>
      <c r="I57" s="40">
        <v>180</v>
      </c>
      <c r="J57" s="40">
        <v>0</v>
      </c>
    </row>
    <row r="58" spans="1:10" ht="15.75" customHeight="1">
      <c r="A58" s="29">
        <v>4590</v>
      </c>
      <c r="B58" s="30" t="s">
        <v>108</v>
      </c>
      <c r="C58" s="54"/>
      <c r="D58" s="34">
        <v>0</v>
      </c>
      <c r="E58" s="36"/>
      <c r="F58" s="38"/>
      <c r="G58" s="38"/>
      <c r="H58" s="40">
        <v>0</v>
      </c>
      <c r="I58" s="40">
        <v>70269.5</v>
      </c>
      <c r="J58" s="40">
        <v>0</v>
      </c>
    </row>
    <row r="59" spans="1:10" ht="15.75" customHeight="1">
      <c r="A59" s="29">
        <v>4700</v>
      </c>
      <c r="B59" s="30" t="s">
        <v>109</v>
      </c>
      <c r="C59" s="54">
        <v>50000</v>
      </c>
      <c r="D59" s="51"/>
      <c r="F59" s="33"/>
    </row>
    <row r="60" spans="1:10" ht="15.75" customHeight="1">
      <c r="A60" s="29">
        <v>4800</v>
      </c>
      <c r="B60" s="30" t="s">
        <v>110</v>
      </c>
      <c r="C60" s="54">
        <v>50000</v>
      </c>
      <c r="D60" s="34">
        <v>0</v>
      </c>
      <c r="E60" s="36">
        <v>9792.0400000000009</v>
      </c>
      <c r="F60" s="38"/>
      <c r="G60" s="40">
        <v>229604.45</v>
      </c>
      <c r="H60" s="40">
        <v>10000</v>
      </c>
      <c r="I60" s="40">
        <v>3600</v>
      </c>
      <c r="J60" s="40">
        <v>5000</v>
      </c>
    </row>
    <row r="61" spans="1:10" ht="15.75" customHeight="1">
      <c r="A61" s="29">
        <v>4990</v>
      </c>
      <c r="B61" s="30" t="s">
        <v>111</v>
      </c>
      <c r="C61" s="54">
        <v>50000</v>
      </c>
      <c r="D61" s="34">
        <v>10000</v>
      </c>
      <c r="E61" s="36">
        <v>9559</v>
      </c>
      <c r="F61" s="48">
        <v>10000</v>
      </c>
      <c r="G61" s="40">
        <v>11467.28</v>
      </c>
      <c r="H61" s="40">
        <v>10000</v>
      </c>
      <c r="I61" s="40">
        <v>714.58</v>
      </c>
      <c r="J61" s="40">
        <v>20000</v>
      </c>
    </row>
    <row r="62" spans="1:10" ht="15.75" customHeight="1">
      <c r="A62" s="29">
        <v>6010</v>
      </c>
      <c r="B62" s="30" t="s">
        <v>96</v>
      </c>
      <c r="C62" s="54"/>
      <c r="D62" s="34">
        <v>0</v>
      </c>
      <c r="F62" s="33"/>
    </row>
    <row r="63" spans="1:10" ht="15.75" customHeight="1">
      <c r="A63" s="29">
        <v>6015</v>
      </c>
      <c r="B63" s="30" t="s">
        <v>112</v>
      </c>
      <c r="C63" s="54">
        <v>20000</v>
      </c>
      <c r="D63" s="51"/>
      <c r="F63" s="33"/>
    </row>
    <row r="64" spans="1:10" ht="15.75" customHeight="1">
      <c r="A64" s="29">
        <v>6100</v>
      </c>
      <c r="B64" s="30" t="s">
        <v>113</v>
      </c>
      <c r="C64" s="54"/>
      <c r="D64" s="34">
        <v>0</v>
      </c>
      <c r="E64" s="36"/>
      <c r="F64" s="38"/>
      <c r="G64" s="38"/>
      <c r="H64" s="38"/>
      <c r="I64" s="38"/>
      <c r="J64" s="38"/>
    </row>
    <row r="65" spans="1:10" ht="15.75" customHeight="1">
      <c r="A65" s="29">
        <v>6110</v>
      </c>
      <c r="B65" s="30" t="s">
        <v>114</v>
      </c>
      <c r="C65" s="54"/>
      <c r="D65" s="34">
        <v>2000</v>
      </c>
      <c r="E65" s="36"/>
      <c r="F65" s="48">
        <v>2000</v>
      </c>
      <c r="G65" s="40">
        <v>122.88</v>
      </c>
      <c r="H65" s="40">
        <v>1000</v>
      </c>
      <c r="I65" s="40">
        <v>0</v>
      </c>
      <c r="J65" s="40">
        <v>1000</v>
      </c>
    </row>
    <row r="66" spans="1:10" ht="15.75" customHeight="1">
      <c r="A66" s="29">
        <v>6300</v>
      </c>
      <c r="B66" s="30" t="s">
        <v>115</v>
      </c>
      <c r="C66" s="54">
        <v>60000</v>
      </c>
      <c r="D66" s="34">
        <v>0</v>
      </c>
      <c r="E66" s="36"/>
      <c r="F66" s="48">
        <v>70000</v>
      </c>
      <c r="G66" s="40">
        <v>10625</v>
      </c>
      <c r="H66" s="40">
        <v>50000</v>
      </c>
      <c r="I66" s="40">
        <v>0</v>
      </c>
      <c r="J66" s="40">
        <v>0</v>
      </c>
    </row>
    <row r="67" spans="1:10" ht="15.75" customHeight="1">
      <c r="A67" s="29">
        <v>6320</v>
      </c>
      <c r="B67" s="30" t="s">
        <v>116</v>
      </c>
      <c r="C67" s="54"/>
      <c r="D67" s="34">
        <v>0</v>
      </c>
      <c r="E67" s="36"/>
      <c r="F67" s="38"/>
      <c r="G67" s="40">
        <v>1996.25</v>
      </c>
      <c r="H67" s="40">
        <v>0</v>
      </c>
      <c r="I67" s="40">
        <v>0</v>
      </c>
      <c r="J67" s="40">
        <v>0</v>
      </c>
    </row>
    <row r="68" spans="1:10" ht="15.75" customHeight="1">
      <c r="A68" s="29">
        <v>6340</v>
      </c>
      <c r="B68" s="30" t="s">
        <v>117</v>
      </c>
      <c r="C68" s="54"/>
      <c r="D68" s="34">
        <v>0</v>
      </c>
      <c r="E68" s="36">
        <v>5406.84</v>
      </c>
      <c r="F68" s="38"/>
      <c r="G68" s="38"/>
      <c r="H68" s="38"/>
      <c r="I68" s="38"/>
      <c r="J68" s="38"/>
    </row>
    <row r="69" spans="1:10" ht="15.75" customHeight="1">
      <c r="A69" s="29">
        <v>6360</v>
      </c>
      <c r="B69" s="30" t="s">
        <v>118</v>
      </c>
      <c r="C69" s="54"/>
      <c r="D69" s="51"/>
      <c r="F69" s="33"/>
    </row>
    <row r="70" spans="1:10" ht="15.75" customHeight="1">
      <c r="A70" s="29">
        <v>6390</v>
      </c>
      <c r="B70" s="30" t="s">
        <v>119</v>
      </c>
      <c r="C70" s="54"/>
      <c r="D70" s="34">
        <v>0</v>
      </c>
      <c r="E70" s="36"/>
      <c r="F70" s="38"/>
      <c r="G70" s="40">
        <v>2435</v>
      </c>
      <c r="H70" s="40">
        <v>0</v>
      </c>
      <c r="I70" s="40">
        <v>0</v>
      </c>
      <c r="J70" s="40">
        <v>0</v>
      </c>
    </row>
    <row r="71" spans="1:10" ht="15.75" customHeight="1">
      <c r="A71" s="29">
        <v>6420</v>
      </c>
      <c r="B71" s="30" t="s">
        <v>120</v>
      </c>
      <c r="C71" s="54"/>
      <c r="D71" s="34">
        <v>0</v>
      </c>
      <c r="E71" s="36"/>
      <c r="F71" s="38"/>
      <c r="G71" s="38"/>
      <c r="H71" s="40">
        <v>2000</v>
      </c>
      <c r="I71" s="40">
        <v>0</v>
      </c>
      <c r="J71" s="40">
        <v>0</v>
      </c>
    </row>
    <row r="72" spans="1:10" ht="15.75" customHeight="1">
      <c r="A72" s="29">
        <v>6440</v>
      </c>
      <c r="B72" s="30" t="s">
        <v>121</v>
      </c>
      <c r="C72" s="54"/>
      <c r="D72" s="34">
        <v>5000</v>
      </c>
      <c r="E72" s="36"/>
      <c r="F72" s="48">
        <v>5000</v>
      </c>
      <c r="G72" s="38"/>
      <c r="H72" s="38"/>
      <c r="I72" s="38"/>
      <c r="J72" s="38"/>
    </row>
    <row r="73" spans="1:10" ht="15.75" customHeight="1">
      <c r="A73" s="29">
        <v>6490</v>
      </c>
      <c r="B73" s="30" t="s">
        <v>122</v>
      </c>
      <c r="C73" s="54"/>
      <c r="D73" s="34">
        <v>0</v>
      </c>
      <c r="E73" s="36">
        <v>1100</v>
      </c>
      <c r="F73" s="48"/>
      <c r="G73" s="38"/>
      <c r="H73" s="38"/>
      <c r="I73" s="38"/>
      <c r="J73" s="38"/>
    </row>
    <row r="74" spans="1:10" ht="15.75" customHeight="1">
      <c r="A74" s="29">
        <v>6540</v>
      </c>
      <c r="B74" s="30" t="s">
        <v>123</v>
      </c>
      <c r="C74" s="54">
        <v>10000</v>
      </c>
      <c r="D74" s="34">
        <v>5000</v>
      </c>
      <c r="E74" s="36">
        <v>13880.73</v>
      </c>
      <c r="F74" s="48">
        <v>5000</v>
      </c>
      <c r="G74" s="40">
        <v>0</v>
      </c>
      <c r="H74" s="40">
        <v>7000</v>
      </c>
      <c r="I74" s="40">
        <v>699</v>
      </c>
      <c r="J74" s="40">
        <v>0</v>
      </c>
    </row>
    <row r="75" spans="1:10" ht="15.75" customHeight="1">
      <c r="A75" s="29">
        <v>6550</v>
      </c>
      <c r="B75" s="30" t="s">
        <v>124</v>
      </c>
      <c r="C75" s="54">
        <v>5000</v>
      </c>
      <c r="D75" s="34">
        <v>25000</v>
      </c>
      <c r="E75" s="36">
        <f>5061.11+4749.25</f>
        <v>9810.36</v>
      </c>
      <c r="F75" s="38"/>
      <c r="G75" s="40">
        <v>3387</v>
      </c>
      <c r="H75" s="40">
        <v>10000</v>
      </c>
      <c r="I75" s="40">
        <v>119</v>
      </c>
      <c r="J75" s="40">
        <v>2500</v>
      </c>
    </row>
    <row r="76" spans="1:10" ht="15.75" customHeight="1">
      <c r="A76" s="29">
        <v>6570</v>
      </c>
      <c r="B76" s="30" t="s">
        <v>125</v>
      </c>
      <c r="C76" s="54"/>
      <c r="D76" s="51"/>
      <c r="E76" s="36">
        <v>1536</v>
      </c>
      <c r="F76" s="38"/>
      <c r="G76" s="40"/>
      <c r="H76" s="40"/>
      <c r="I76" s="40"/>
      <c r="J76" s="40"/>
    </row>
    <row r="77" spans="1:10" ht="15.75" customHeight="1">
      <c r="A77" s="29" t="s">
        <v>126</v>
      </c>
      <c r="B77" s="30" t="s">
        <v>127</v>
      </c>
      <c r="C77" s="54"/>
      <c r="D77" s="34">
        <v>0</v>
      </c>
      <c r="F77" s="33"/>
    </row>
    <row r="78" spans="1:10" ht="15.75" customHeight="1">
      <c r="A78" s="29">
        <v>6620</v>
      </c>
      <c r="B78" s="30" t="s">
        <v>128</v>
      </c>
      <c r="C78" s="54"/>
      <c r="D78" s="34">
        <v>0</v>
      </c>
      <c r="E78" s="36"/>
      <c r="F78" s="38"/>
      <c r="G78" s="38"/>
      <c r="H78" s="40">
        <v>0</v>
      </c>
      <c r="I78" s="40">
        <v>0</v>
      </c>
      <c r="J78" s="40">
        <v>0</v>
      </c>
    </row>
    <row r="79" spans="1:10" ht="15.75" customHeight="1">
      <c r="A79" s="29">
        <v>6700</v>
      </c>
      <c r="B79" s="30" t="s">
        <v>129</v>
      </c>
      <c r="C79" s="54">
        <v>90000</v>
      </c>
      <c r="D79" s="34">
        <v>95000</v>
      </c>
      <c r="E79" s="36">
        <v>95006.25</v>
      </c>
      <c r="F79" s="48">
        <v>80000</v>
      </c>
      <c r="G79" s="40">
        <v>77093.75</v>
      </c>
      <c r="H79" s="40">
        <v>80000</v>
      </c>
      <c r="I79" s="40">
        <v>79906.25</v>
      </c>
      <c r="J79" s="40">
        <v>70000</v>
      </c>
    </row>
    <row r="80" spans="1:10" ht="15.75" customHeight="1">
      <c r="A80" s="29">
        <v>6712</v>
      </c>
      <c r="B80" s="30" t="s">
        <v>130</v>
      </c>
      <c r="C80" s="54">
        <v>450000</v>
      </c>
      <c r="D80" s="34">
        <v>475000</v>
      </c>
      <c r="E80" s="36">
        <v>495748</v>
      </c>
      <c r="F80" s="48">
        <v>400000</v>
      </c>
      <c r="G80" s="40">
        <v>410794</v>
      </c>
      <c r="H80" s="40">
        <v>350000</v>
      </c>
      <c r="I80" s="40">
        <v>356288</v>
      </c>
      <c r="J80" s="40">
        <v>300000</v>
      </c>
    </row>
    <row r="81" spans="1:10" ht="15.75" customHeight="1">
      <c r="A81" s="29">
        <v>6730</v>
      </c>
      <c r="B81" s="30" t="s">
        <v>131</v>
      </c>
      <c r="C81" s="54"/>
      <c r="D81" s="34">
        <v>0</v>
      </c>
      <c r="E81" s="36"/>
      <c r="F81" s="38"/>
      <c r="G81" s="38"/>
      <c r="H81" s="38"/>
      <c r="I81" s="38"/>
      <c r="J81" s="38"/>
    </row>
    <row r="82" spans="1:10" ht="15.75" customHeight="1">
      <c r="A82" s="29">
        <v>6790</v>
      </c>
      <c r="B82" s="30" t="s">
        <v>132</v>
      </c>
      <c r="C82" s="54"/>
      <c r="D82" s="34">
        <v>0</v>
      </c>
      <c r="E82" s="36">
        <v>2000</v>
      </c>
      <c r="F82" s="38"/>
      <c r="G82" s="38"/>
      <c r="H82" s="40">
        <v>10000</v>
      </c>
      <c r="I82" s="42">
        <v>-20412.189999999999</v>
      </c>
      <c r="J82" s="40">
        <v>5000</v>
      </c>
    </row>
    <row r="83" spans="1:10" ht="15.75" customHeight="1">
      <c r="A83" s="29">
        <v>6800</v>
      </c>
      <c r="B83" s="30" t="s">
        <v>133</v>
      </c>
      <c r="C83" s="54"/>
      <c r="D83" s="34">
        <v>6000</v>
      </c>
      <c r="E83" s="36">
        <v>5973.5</v>
      </c>
      <c r="F83" s="48">
        <v>6000</v>
      </c>
      <c r="G83" s="40">
        <v>3701.95</v>
      </c>
      <c r="H83" s="40">
        <v>6000</v>
      </c>
      <c r="I83" s="40">
        <v>1187</v>
      </c>
      <c r="J83" s="40">
        <v>2500</v>
      </c>
    </row>
    <row r="84" spans="1:10" ht="15.75" customHeight="1">
      <c r="A84" s="29">
        <v>6810</v>
      </c>
      <c r="B84" s="30" t="s">
        <v>134</v>
      </c>
      <c r="C84" s="54">
        <v>2000</v>
      </c>
      <c r="D84" s="34">
        <v>15000</v>
      </c>
      <c r="E84" s="36">
        <v>16675</v>
      </c>
      <c r="F84" s="48">
        <v>10000</v>
      </c>
      <c r="G84" s="40">
        <v>1306.67</v>
      </c>
      <c r="H84" s="40">
        <v>40000</v>
      </c>
      <c r="I84" s="40">
        <v>28730.91</v>
      </c>
      <c r="J84" s="40">
        <v>1500</v>
      </c>
    </row>
    <row r="85" spans="1:10" ht="15.75" customHeight="1">
      <c r="A85" s="29">
        <v>6811</v>
      </c>
      <c r="B85" s="30" t="s">
        <v>135</v>
      </c>
      <c r="C85" s="54">
        <v>70000</v>
      </c>
      <c r="D85" s="34"/>
      <c r="E85" s="36">
        <v>38635.97</v>
      </c>
      <c r="F85" s="48">
        <v>80000</v>
      </c>
      <c r="G85" s="40">
        <v>74635.31</v>
      </c>
      <c r="H85" s="40">
        <v>8000</v>
      </c>
      <c r="I85" s="40">
        <v>10680.95</v>
      </c>
      <c r="J85" s="40">
        <v>22500</v>
      </c>
    </row>
    <row r="86" spans="1:10" ht="15.75" customHeight="1">
      <c r="A86" s="29">
        <v>6820</v>
      </c>
      <c r="B86" s="30" t="s">
        <v>136</v>
      </c>
      <c r="C86" s="54">
        <v>5000</v>
      </c>
      <c r="D86" s="34">
        <v>20000</v>
      </c>
      <c r="E86" s="36">
        <v>8562.5</v>
      </c>
      <c r="F86" s="48">
        <v>20000</v>
      </c>
      <c r="G86" s="38"/>
      <c r="H86" s="40">
        <v>40000</v>
      </c>
      <c r="I86" s="40">
        <v>7481</v>
      </c>
      <c r="J86" s="40">
        <v>10000</v>
      </c>
    </row>
    <row r="87" spans="1:10" ht="15.75" customHeight="1">
      <c r="A87" s="29">
        <v>6840</v>
      </c>
      <c r="B87" s="30" t="s">
        <v>137</v>
      </c>
      <c r="C87" s="54"/>
      <c r="D87" s="51"/>
      <c r="F87" s="33"/>
    </row>
    <row r="88" spans="1:10" ht="15.75" customHeight="1">
      <c r="A88" s="29">
        <v>6860</v>
      </c>
      <c r="B88" s="30" t="s">
        <v>138</v>
      </c>
      <c r="C88" s="54">
        <v>10000</v>
      </c>
      <c r="D88" s="34">
        <v>1000</v>
      </c>
      <c r="E88" s="36"/>
      <c r="F88" s="48">
        <v>1000</v>
      </c>
      <c r="G88" s="40">
        <v>299</v>
      </c>
      <c r="H88" s="40">
        <v>500</v>
      </c>
      <c r="I88" s="40">
        <v>0</v>
      </c>
      <c r="J88" s="40">
        <v>0</v>
      </c>
    </row>
    <row r="89" spans="1:10" ht="15.75" customHeight="1">
      <c r="A89" s="29">
        <v>6900</v>
      </c>
      <c r="B89" s="30" t="s">
        <v>139</v>
      </c>
      <c r="C89" s="54">
        <v>3000</v>
      </c>
      <c r="D89" s="34">
        <v>10000</v>
      </c>
      <c r="E89" s="36">
        <v>11220.9</v>
      </c>
      <c r="F89" s="48">
        <v>5000</v>
      </c>
      <c r="G89" s="40">
        <v>1800</v>
      </c>
      <c r="H89" s="40">
        <v>5000</v>
      </c>
      <c r="I89" s="40">
        <v>8550</v>
      </c>
      <c r="J89" s="40">
        <v>10000</v>
      </c>
    </row>
    <row r="90" spans="1:10" ht="15.75" customHeight="1">
      <c r="A90" s="29">
        <v>6940</v>
      </c>
      <c r="B90" s="30" t="s">
        <v>140</v>
      </c>
      <c r="C90" s="54"/>
      <c r="D90" s="34">
        <v>7500</v>
      </c>
      <c r="E90" s="36">
        <v>7240.97</v>
      </c>
      <c r="F90" s="48">
        <v>6000</v>
      </c>
      <c r="G90" s="40">
        <v>5408.72</v>
      </c>
      <c r="H90" s="40">
        <v>6000</v>
      </c>
      <c r="I90" s="40">
        <v>4200</v>
      </c>
      <c r="J90" s="40">
        <v>4000</v>
      </c>
    </row>
    <row r="91" spans="1:10" ht="15.75" customHeight="1">
      <c r="A91" s="29">
        <v>7100</v>
      </c>
      <c r="B91" s="30" t="s">
        <v>141</v>
      </c>
      <c r="C91" s="54"/>
      <c r="D91" s="34">
        <v>5000</v>
      </c>
      <c r="E91" s="36">
        <v>1975.4</v>
      </c>
      <c r="F91" s="48">
        <v>5000</v>
      </c>
      <c r="G91" s="40">
        <v>3719.69</v>
      </c>
      <c r="H91" s="40">
        <v>5000</v>
      </c>
      <c r="I91" s="40">
        <v>812.5</v>
      </c>
      <c r="J91" s="40">
        <v>5000</v>
      </c>
    </row>
    <row r="92" spans="1:10" ht="15.75" customHeight="1">
      <c r="A92" s="29">
        <v>7101</v>
      </c>
      <c r="B92" s="30" t="s">
        <v>142</v>
      </c>
      <c r="C92" s="54"/>
      <c r="D92" s="34"/>
      <c r="E92" s="36">
        <v>79.2</v>
      </c>
      <c r="F92" s="38"/>
      <c r="G92" s="40">
        <v>348.58</v>
      </c>
      <c r="H92" s="40"/>
      <c r="I92" s="40"/>
      <c r="J92" s="40"/>
    </row>
    <row r="93" spans="1:10" ht="15.75" customHeight="1">
      <c r="A93" s="29">
        <v>7110</v>
      </c>
      <c r="B93" s="30" t="s">
        <v>143</v>
      </c>
      <c r="C93" s="54"/>
      <c r="D93" s="34"/>
      <c r="E93" s="36"/>
      <c r="F93" s="38"/>
      <c r="G93" s="38"/>
      <c r="H93" s="40"/>
      <c r="I93" s="40"/>
      <c r="J93" s="40"/>
    </row>
    <row r="94" spans="1:10" ht="15.75" customHeight="1">
      <c r="A94" s="29">
        <v>7140</v>
      </c>
      <c r="B94" s="30" t="s">
        <v>144</v>
      </c>
      <c r="C94" s="54"/>
      <c r="D94" s="34"/>
      <c r="E94" s="36">
        <v>8515</v>
      </c>
      <c r="F94" s="38"/>
      <c r="G94" s="40">
        <v>746</v>
      </c>
      <c r="H94" s="40"/>
      <c r="I94" s="40">
        <v>13544.68</v>
      </c>
      <c r="J94" s="40"/>
    </row>
    <row r="95" spans="1:10" ht="15.75" customHeight="1">
      <c r="A95" s="29">
        <v>7150</v>
      </c>
      <c r="B95" s="30" t="s">
        <v>145</v>
      </c>
      <c r="C95" s="54"/>
      <c r="D95" s="34"/>
      <c r="E95" s="36"/>
      <c r="F95" s="38"/>
      <c r="G95" s="38"/>
      <c r="H95" s="40"/>
      <c r="I95" s="40">
        <v>0</v>
      </c>
      <c r="J95" s="40"/>
    </row>
    <row r="96" spans="1:10" ht="15.75" customHeight="1">
      <c r="A96" s="29">
        <v>7170</v>
      </c>
      <c r="B96" s="30" t="s">
        <v>146</v>
      </c>
      <c r="D96" s="51"/>
      <c r="F96" s="33"/>
      <c r="I96" s="40">
        <v>45123</v>
      </c>
      <c r="J96" s="40"/>
    </row>
    <row r="97" spans="1:10" ht="15.75" customHeight="1">
      <c r="A97" s="29">
        <v>7300</v>
      </c>
      <c r="B97" s="30" t="s">
        <v>147</v>
      </c>
      <c r="C97" s="54"/>
      <c r="D97" s="34"/>
      <c r="E97" s="36"/>
      <c r="F97" s="38"/>
      <c r="G97" s="38"/>
      <c r="H97" s="40"/>
      <c r="J97" s="40"/>
    </row>
    <row r="98" spans="1:10" ht="15.75" customHeight="1">
      <c r="A98" s="29">
        <v>7320</v>
      </c>
      <c r="B98" s="30" t="s">
        <v>148</v>
      </c>
      <c r="C98" s="54">
        <v>30000</v>
      </c>
      <c r="D98" s="34">
        <v>17500</v>
      </c>
      <c r="E98" s="36">
        <v>17815.5</v>
      </c>
      <c r="F98" s="48">
        <v>15000</v>
      </c>
      <c r="G98" s="40">
        <v>14289</v>
      </c>
      <c r="H98" s="40">
        <v>20000</v>
      </c>
      <c r="I98" s="40">
        <v>0</v>
      </c>
      <c r="J98" s="40">
        <v>15000</v>
      </c>
    </row>
    <row r="99" spans="1:10" ht="15.75" customHeight="1">
      <c r="A99" s="29">
        <v>7350</v>
      </c>
      <c r="B99" s="30" t="s">
        <v>149</v>
      </c>
      <c r="C99" s="54"/>
      <c r="D99" s="34">
        <v>15000</v>
      </c>
      <c r="E99" s="36"/>
      <c r="F99" s="48">
        <v>15000</v>
      </c>
      <c r="G99" s="38"/>
      <c r="H99" s="40">
        <v>0</v>
      </c>
      <c r="I99" s="40">
        <v>0</v>
      </c>
      <c r="J99" s="40">
        <v>0</v>
      </c>
    </row>
    <row r="100" spans="1:10" ht="15.75" customHeight="1">
      <c r="A100" s="29">
        <v>7400</v>
      </c>
      <c r="B100" s="30" t="s">
        <v>150</v>
      </c>
      <c r="C100" s="54"/>
      <c r="D100" s="34">
        <v>0</v>
      </c>
      <c r="E100" s="36"/>
      <c r="F100" s="38"/>
      <c r="G100" s="40">
        <v>2400</v>
      </c>
      <c r="H100" s="40">
        <v>0</v>
      </c>
      <c r="I100" s="40">
        <v>2400</v>
      </c>
      <c r="J100" s="40">
        <v>0</v>
      </c>
    </row>
    <row r="101" spans="1:10" ht="15.75" customHeight="1">
      <c r="A101" s="29">
        <v>7410</v>
      </c>
      <c r="B101" s="30" t="s">
        <v>103</v>
      </c>
      <c r="C101" s="54"/>
      <c r="D101" s="34">
        <v>2750</v>
      </c>
      <c r="E101" s="36">
        <v>2750</v>
      </c>
      <c r="F101" s="38"/>
      <c r="G101" s="40"/>
      <c r="H101" s="40"/>
      <c r="I101" s="40"/>
      <c r="J101" s="40"/>
    </row>
    <row r="102" spans="1:10" ht="15.75" customHeight="1">
      <c r="A102" s="29">
        <v>7420</v>
      </c>
      <c r="B102" s="30" t="s">
        <v>151</v>
      </c>
      <c r="C102" s="54"/>
      <c r="D102" s="34">
        <v>2500</v>
      </c>
      <c r="E102" s="36">
        <v>1025</v>
      </c>
      <c r="F102" s="48">
        <v>2500</v>
      </c>
      <c r="G102" s="38"/>
      <c r="H102" s="40">
        <v>0</v>
      </c>
      <c r="I102" s="40">
        <v>59.7</v>
      </c>
      <c r="J102" s="40">
        <v>3000</v>
      </c>
    </row>
    <row r="103" spans="1:10" ht="15.75" customHeight="1">
      <c r="A103" s="29">
        <v>7430</v>
      </c>
      <c r="B103" s="30" t="s">
        <v>152</v>
      </c>
      <c r="C103" s="54"/>
      <c r="D103" s="51"/>
      <c r="F103" s="33"/>
    </row>
    <row r="104" spans="1:10" ht="15.75" customHeight="1">
      <c r="A104" s="29">
        <v>7500</v>
      </c>
      <c r="B104" s="30" t="s">
        <v>153</v>
      </c>
      <c r="C104" s="54">
        <v>65000</v>
      </c>
      <c r="D104" s="34">
        <v>0</v>
      </c>
      <c r="E104" s="36"/>
      <c r="F104" s="38"/>
      <c r="G104" s="40">
        <v>89360</v>
      </c>
      <c r="H104" s="40">
        <v>0</v>
      </c>
      <c r="I104" s="40">
        <v>95447</v>
      </c>
      <c r="J104" s="40">
        <v>0</v>
      </c>
    </row>
    <row r="105" spans="1:10" ht="15.75" customHeight="1">
      <c r="A105" s="29">
        <v>7510</v>
      </c>
      <c r="B105" s="30" t="s">
        <v>154</v>
      </c>
      <c r="C105" s="54"/>
      <c r="D105" s="34">
        <v>70000</v>
      </c>
      <c r="E105" s="36"/>
      <c r="F105" s="48">
        <v>70000</v>
      </c>
      <c r="G105" s="38"/>
      <c r="H105" s="40">
        <v>70000</v>
      </c>
      <c r="I105" s="40">
        <v>0</v>
      </c>
      <c r="J105" s="40">
        <v>70000</v>
      </c>
    </row>
    <row r="106" spans="1:10" ht="15.75" customHeight="1">
      <c r="A106" s="29">
        <v>7700</v>
      </c>
      <c r="B106" s="30" t="s">
        <v>155</v>
      </c>
      <c r="C106" s="54">
        <v>5000</v>
      </c>
      <c r="D106" s="34">
        <v>7500</v>
      </c>
      <c r="E106" s="36">
        <v>4446.41</v>
      </c>
      <c r="F106" s="48">
        <v>7500</v>
      </c>
      <c r="G106" s="40">
        <v>2694</v>
      </c>
      <c r="H106" s="40">
        <v>9000</v>
      </c>
      <c r="I106" s="40">
        <v>7083.35</v>
      </c>
      <c r="J106" s="40">
        <v>15000</v>
      </c>
    </row>
    <row r="107" spans="1:10" ht="15.75" customHeight="1">
      <c r="A107" s="29">
        <v>7740</v>
      </c>
      <c r="B107" s="30" t="s">
        <v>156</v>
      </c>
      <c r="C107" s="54"/>
      <c r="D107" s="34">
        <v>0</v>
      </c>
      <c r="E107" s="36">
        <v>0.11</v>
      </c>
      <c r="F107" s="38"/>
      <c r="G107" s="5"/>
      <c r="H107" s="40">
        <v>0</v>
      </c>
      <c r="I107" s="40">
        <v>0.82</v>
      </c>
      <c r="J107" s="40">
        <v>0</v>
      </c>
    </row>
    <row r="108" spans="1:10" ht="15.75" customHeight="1">
      <c r="A108" s="29">
        <v>7750</v>
      </c>
      <c r="B108" s="30" t="s">
        <v>157</v>
      </c>
      <c r="C108" s="54"/>
      <c r="D108" s="51"/>
      <c r="F108" s="33"/>
    </row>
    <row r="109" spans="1:10" ht="15.75" customHeight="1">
      <c r="A109" s="29">
        <v>7770</v>
      </c>
      <c r="B109" s="30" t="s">
        <v>158</v>
      </c>
      <c r="C109" s="54">
        <v>10000</v>
      </c>
      <c r="D109" s="34">
        <v>20000</v>
      </c>
      <c r="E109" s="36">
        <v>10415.82</v>
      </c>
      <c r="F109" s="48">
        <v>15000</v>
      </c>
      <c r="G109" s="40">
        <v>16822.419999999998</v>
      </c>
      <c r="H109" s="40">
        <v>15000</v>
      </c>
      <c r="I109" s="40">
        <v>14298.59</v>
      </c>
      <c r="J109" s="40">
        <v>7000</v>
      </c>
    </row>
    <row r="110" spans="1:10" ht="15.75" customHeight="1">
      <c r="A110" s="29">
        <v>7790</v>
      </c>
      <c r="B110" s="30" t="s">
        <v>159</v>
      </c>
      <c r="C110" s="54"/>
      <c r="D110" s="34">
        <v>10000</v>
      </c>
      <c r="E110" s="36">
        <v>13932.7</v>
      </c>
      <c r="F110" s="48">
        <v>2000</v>
      </c>
      <c r="G110" s="40">
        <v>667</v>
      </c>
      <c r="H110" s="40">
        <v>2000</v>
      </c>
      <c r="I110" s="40">
        <v>135</v>
      </c>
      <c r="J110" s="40">
        <v>7500</v>
      </c>
    </row>
    <row r="111" spans="1:10" ht="15.75" customHeight="1">
      <c r="A111" s="29">
        <v>7791</v>
      </c>
      <c r="B111" s="30" t="s">
        <v>160</v>
      </c>
      <c r="C111" s="54"/>
      <c r="D111" s="34"/>
      <c r="E111" s="36">
        <v>-1066.8</v>
      </c>
      <c r="F111" s="48"/>
      <c r="G111" s="40"/>
      <c r="H111" s="40"/>
      <c r="I111" s="40"/>
      <c r="J111" s="40"/>
    </row>
    <row r="112" spans="1:10" ht="15.75" customHeight="1">
      <c r="A112" s="29">
        <v>7792</v>
      </c>
      <c r="B112" s="30" t="s">
        <v>161</v>
      </c>
      <c r="D112" s="51"/>
      <c r="F112" s="33"/>
      <c r="H112" s="40">
        <v>0</v>
      </c>
      <c r="I112" s="42">
        <v>-8244.01</v>
      </c>
      <c r="J112" s="40">
        <v>0</v>
      </c>
    </row>
    <row r="113" spans="1:10" ht="15.75" customHeight="1">
      <c r="A113" s="29">
        <v>7830</v>
      </c>
      <c r="B113" s="30" t="s">
        <v>162</v>
      </c>
      <c r="C113" s="54"/>
      <c r="D113" s="34"/>
      <c r="E113" s="36">
        <v>90208</v>
      </c>
      <c r="F113" s="38"/>
      <c r="G113" s="38"/>
      <c r="H113" s="40"/>
      <c r="I113" s="42"/>
      <c r="J113" s="40"/>
    </row>
    <row r="114" spans="1:10" ht="15.75" customHeight="1">
      <c r="A114" s="29">
        <v>7831</v>
      </c>
      <c r="B114" s="30" t="s">
        <v>163</v>
      </c>
      <c r="C114" s="54"/>
      <c r="D114" s="57"/>
      <c r="E114" s="58">
        <v>-30615.5</v>
      </c>
      <c r="F114" s="59"/>
      <c r="G114" s="61">
        <v>0</v>
      </c>
      <c r="H114" s="61">
        <v>0</v>
      </c>
      <c r="I114" s="61">
        <v>80793.22</v>
      </c>
      <c r="J114" s="61">
        <v>0</v>
      </c>
    </row>
    <row r="115" spans="1:10" ht="15.75" customHeight="1">
      <c r="A115" s="63" t="s">
        <v>164</v>
      </c>
      <c r="B115" s="63"/>
      <c r="C115" s="66">
        <f t="shared" ref="C115:F115" si="4">SUM(C50:C114)</f>
        <v>1017000</v>
      </c>
      <c r="D115" s="85">
        <f t="shared" si="4"/>
        <v>846150</v>
      </c>
      <c r="E115" s="87">
        <f t="shared" si="4"/>
        <v>862471.89999999979</v>
      </c>
      <c r="F115" s="89">
        <f t="shared" si="4"/>
        <v>841000</v>
      </c>
      <c r="G115" s="88">
        <f>SUM(G53:G114)</f>
        <v>968123.95</v>
      </c>
      <c r="H115" s="88">
        <f>SUM(H50:H114)</f>
        <v>769500</v>
      </c>
      <c r="I115" s="88">
        <f t="shared" ref="I115:J115" si="5">SUM(I53:I114)</f>
        <v>805647.84999999986</v>
      </c>
      <c r="J115" s="88">
        <f t="shared" si="5"/>
        <v>585000</v>
      </c>
    </row>
    <row r="116" spans="1:10" ht="15.75" customHeight="1">
      <c r="A116" s="29"/>
      <c r="B116" s="29"/>
      <c r="C116" s="54"/>
      <c r="D116" s="97"/>
      <c r="E116" s="98"/>
      <c r="F116" s="59"/>
      <c r="G116" s="59"/>
      <c r="H116" s="59"/>
      <c r="I116" s="59"/>
      <c r="J116" s="59"/>
    </row>
    <row r="117" spans="1:10" ht="15.75" customHeight="1">
      <c r="A117" s="63" t="s">
        <v>165</v>
      </c>
      <c r="B117" s="100"/>
      <c r="C117" s="66">
        <f>C115+C41</f>
        <v>1559356</v>
      </c>
      <c r="D117" s="97">
        <f t="shared" ref="D117:H117" si="6">D41+D47+D115</f>
        <v>1405750</v>
      </c>
      <c r="E117" s="101">
        <f t="shared" si="6"/>
        <v>1348933.19</v>
      </c>
      <c r="F117" s="89">
        <f t="shared" si="6"/>
        <v>1387100</v>
      </c>
      <c r="G117" s="88">
        <f t="shared" si="6"/>
        <v>1476671.6199999999</v>
      </c>
      <c r="H117" s="88">
        <f t="shared" si="6"/>
        <v>1366740</v>
      </c>
      <c r="I117" s="88">
        <f>I115+I47+I41</f>
        <v>1422281.5899999999</v>
      </c>
      <c r="J117" s="88">
        <f>J41+J47+J115</f>
        <v>1164879</v>
      </c>
    </row>
    <row r="118" spans="1:10" ht="15.75" customHeight="1">
      <c r="A118" s="29"/>
      <c r="B118" s="29"/>
      <c r="C118" s="54"/>
      <c r="D118" s="97"/>
      <c r="E118" s="98"/>
      <c r="F118" s="59"/>
      <c r="G118" s="59"/>
      <c r="H118" s="59"/>
      <c r="I118" s="59"/>
      <c r="J118" s="59"/>
    </row>
    <row r="119" spans="1:10" ht="15.75" customHeight="1">
      <c r="A119" s="63" t="s">
        <v>166</v>
      </c>
      <c r="B119" s="100"/>
      <c r="C119" s="66">
        <f t="shared" ref="C119:J119" si="7">C21-C117</f>
        <v>-19356</v>
      </c>
      <c r="D119" s="97">
        <f t="shared" si="7"/>
        <v>259250</v>
      </c>
      <c r="E119" s="101">
        <f t="shared" si="7"/>
        <v>524452.24</v>
      </c>
      <c r="F119" s="89">
        <f t="shared" si="7"/>
        <v>-12100</v>
      </c>
      <c r="G119" s="88">
        <f t="shared" si="7"/>
        <v>255494.79000000027</v>
      </c>
      <c r="H119" s="88">
        <f t="shared" si="7"/>
        <v>28260</v>
      </c>
      <c r="I119" s="103">
        <f t="shared" si="7"/>
        <v>-1115727.98</v>
      </c>
      <c r="J119" s="103">
        <f t="shared" si="7"/>
        <v>-414795</v>
      </c>
    </row>
    <row r="120" spans="1:10" ht="15.75" customHeight="1"/>
    <row r="121" spans="1:10" ht="15.75" customHeight="1">
      <c r="A121" s="104" t="s">
        <v>167</v>
      </c>
      <c r="B121" s="104"/>
      <c r="C121" s="104">
        <v>224492.75</v>
      </c>
      <c r="D121" s="33"/>
      <c r="E121" s="33"/>
      <c r="F121" s="33"/>
      <c r="G121" s="33"/>
      <c r="H121" s="33"/>
      <c r="I121" s="33"/>
    </row>
    <row r="122" spans="1:10" ht="15.75" customHeight="1">
      <c r="A122" s="104" t="s">
        <v>168</v>
      </c>
      <c r="B122" s="104"/>
      <c r="C122" s="162">
        <f>-C119+C121</f>
        <v>243848.75</v>
      </c>
    </row>
    <row r="123" spans="1:10" ht="15.75" customHeight="1"/>
    <row r="124" spans="1:10" ht="15.75" customHeight="1"/>
    <row r="125" spans="1:10" ht="15.75" customHeight="1"/>
    <row r="126" spans="1:10" ht="15.75" customHeight="1"/>
    <row r="127" spans="1:10" ht="15.75" customHeight="1"/>
    <row r="128" spans="1:1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43:B43"/>
    <mergeCell ref="A47:B47"/>
  </mergeCells>
  <pageMargins left="0.75" right="0.75" top="1" bottom="1" header="0" footer="0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>
      <selection activeCell="E96" sqref="E96"/>
    </sheetView>
  </sheetViews>
  <sheetFormatPr baseColWidth="10" defaultColWidth="11.1640625" defaultRowHeight="15" customHeight="1"/>
  <cols>
    <col min="1" max="1" width="10.5" customWidth="1"/>
    <col min="2" max="2" width="28.83203125" customWidth="1"/>
    <col min="3" max="3" width="23" customWidth="1"/>
    <col min="4" max="4" width="24.5" customWidth="1"/>
    <col min="5" max="5" width="32" customWidth="1"/>
    <col min="6" max="6" width="24.1640625" customWidth="1"/>
    <col min="7" max="7" width="21.1640625" customWidth="1"/>
    <col min="8" max="8" width="21.83203125" customWidth="1"/>
    <col min="9" max="26" width="10.5" customWidth="1"/>
  </cols>
  <sheetData>
    <row r="1" spans="1:8" ht="16">
      <c r="A1" s="158" t="s">
        <v>0</v>
      </c>
      <c r="B1" s="150"/>
      <c r="C1" s="118"/>
    </row>
    <row r="2" spans="1:8" ht="16">
      <c r="A2" s="159" t="s">
        <v>1</v>
      </c>
      <c r="B2" s="156"/>
      <c r="C2" s="119" t="s">
        <v>2</v>
      </c>
      <c r="D2" s="120" t="s">
        <v>169</v>
      </c>
      <c r="E2" s="121" t="s">
        <v>170</v>
      </c>
      <c r="F2" s="122" t="s">
        <v>41</v>
      </c>
      <c r="G2" s="122" t="s">
        <v>171</v>
      </c>
      <c r="H2" s="122" t="s">
        <v>172</v>
      </c>
    </row>
    <row r="3" spans="1:8" ht="16">
      <c r="A3" s="123">
        <v>3110</v>
      </c>
      <c r="B3" s="124" t="s">
        <v>49</v>
      </c>
      <c r="C3" s="54">
        <f t="shared" ref="C3:C20" si="0">SUM(D3:E3)</f>
        <v>0</v>
      </c>
      <c r="D3" s="125"/>
      <c r="E3" s="126"/>
      <c r="F3" s="54"/>
      <c r="G3" s="129"/>
      <c r="H3" s="129"/>
    </row>
    <row r="4" spans="1:8" ht="16">
      <c r="A4" s="123">
        <v>3120</v>
      </c>
      <c r="B4" s="124" t="s">
        <v>53</v>
      </c>
      <c r="C4" s="54">
        <f t="shared" si="0"/>
        <v>0</v>
      </c>
      <c r="D4" s="125"/>
      <c r="E4" s="126"/>
      <c r="F4" s="54"/>
      <c r="G4" s="129"/>
      <c r="H4" s="129"/>
    </row>
    <row r="5" spans="1:8" ht="16">
      <c r="A5" s="123">
        <v>3400</v>
      </c>
      <c r="B5" s="124" t="s">
        <v>55</v>
      </c>
      <c r="C5" s="54">
        <f t="shared" si="0"/>
        <v>0</v>
      </c>
      <c r="D5" s="125"/>
      <c r="E5" s="126"/>
      <c r="F5" s="54"/>
      <c r="G5" s="129"/>
      <c r="H5" s="129"/>
    </row>
    <row r="6" spans="1:8" ht="16">
      <c r="A6" s="123">
        <v>3440</v>
      </c>
      <c r="B6" s="124" t="s">
        <v>56</v>
      </c>
      <c r="C6" s="54">
        <f t="shared" si="0"/>
        <v>0</v>
      </c>
      <c r="D6" s="125"/>
      <c r="E6" s="126"/>
      <c r="F6" s="54"/>
      <c r="G6" s="129"/>
      <c r="H6" s="129"/>
    </row>
    <row r="7" spans="1:8" ht="16">
      <c r="A7" s="123">
        <v>3480</v>
      </c>
      <c r="B7" s="124" t="s">
        <v>60</v>
      </c>
      <c r="C7" s="54">
        <f t="shared" si="0"/>
        <v>0</v>
      </c>
      <c r="D7" s="130"/>
      <c r="E7" s="126"/>
      <c r="F7" s="54"/>
      <c r="G7" s="129"/>
      <c r="H7" s="129"/>
    </row>
    <row r="8" spans="1:8" ht="16">
      <c r="A8" s="123">
        <v>3490</v>
      </c>
      <c r="B8" s="124" t="s">
        <v>61</v>
      </c>
      <c r="C8" s="54">
        <f t="shared" si="0"/>
        <v>60000</v>
      </c>
      <c r="D8" s="131">
        <v>60000</v>
      </c>
      <c r="E8" s="126"/>
      <c r="F8" s="54">
        <f>G8+H8</f>
        <v>42000</v>
      </c>
      <c r="G8" s="129">
        <v>42000</v>
      </c>
      <c r="H8" s="129"/>
    </row>
    <row r="9" spans="1:8" ht="16">
      <c r="A9" s="123">
        <v>3610</v>
      </c>
      <c r="B9" s="124" t="s">
        <v>62</v>
      </c>
      <c r="C9" s="54">
        <f t="shared" si="0"/>
        <v>270000</v>
      </c>
      <c r="D9" s="131">
        <v>270000</v>
      </c>
      <c r="E9" s="126"/>
      <c r="F9" s="54">
        <f>G9+H1+H9</f>
        <v>545000</v>
      </c>
      <c r="G9" s="129">
        <v>365000</v>
      </c>
      <c r="H9" s="129">
        <v>180000</v>
      </c>
    </row>
    <row r="10" spans="1:8" ht="16">
      <c r="A10" s="123">
        <v>3630</v>
      </c>
      <c r="B10" s="124" t="s">
        <v>63</v>
      </c>
      <c r="C10" s="54">
        <f t="shared" si="0"/>
        <v>0</v>
      </c>
      <c r="D10" s="131"/>
      <c r="E10" s="126"/>
      <c r="F10" s="54"/>
      <c r="G10" s="129"/>
      <c r="H10" s="129"/>
    </row>
    <row r="11" spans="1:8" ht="16">
      <c r="A11" s="123">
        <v>3900</v>
      </c>
      <c r="B11" s="124" t="s">
        <v>64</v>
      </c>
      <c r="C11" s="54">
        <f t="shared" si="0"/>
        <v>240000</v>
      </c>
      <c r="D11" s="131"/>
      <c r="E11" s="126">
        <v>240000</v>
      </c>
      <c r="F11" s="54">
        <f>G11+H3+H11</f>
        <v>100000</v>
      </c>
      <c r="G11" s="129">
        <v>100000</v>
      </c>
      <c r="H11" s="129"/>
    </row>
    <row r="12" spans="1:8" ht="16">
      <c r="A12" s="123">
        <v>3910</v>
      </c>
      <c r="B12" s="124" t="s">
        <v>65</v>
      </c>
      <c r="C12" s="54">
        <f t="shared" si="0"/>
        <v>0</v>
      </c>
      <c r="D12" s="131"/>
      <c r="E12" s="126"/>
      <c r="F12" s="54"/>
      <c r="G12" s="129"/>
      <c r="H12" s="129"/>
    </row>
    <row r="13" spans="1:8" ht="16">
      <c r="A13" s="123">
        <v>3920</v>
      </c>
      <c r="B13" s="124" t="s">
        <v>66</v>
      </c>
      <c r="C13" s="54">
        <f t="shared" si="0"/>
        <v>0</v>
      </c>
      <c r="D13" s="131"/>
      <c r="E13" s="126"/>
      <c r="F13" s="54"/>
      <c r="G13" s="129"/>
      <c r="H13" s="129"/>
    </row>
    <row r="14" spans="1:8" ht="16">
      <c r="A14" s="123">
        <v>3940</v>
      </c>
      <c r="B14" s="124" t="s">
        <v>67</v>
      </c>
      <c r="C14" s="54">
        <f t="shared" si="0"/>
        <v>0</v>
      </c>
      <c r="D14" s="131"/>
      <c r="E14" s="126"/>
      <c r="F14" s="54"/>
      <c r="G14" s="129"/>
      <c r="H14" s="129"/>
    </row>
    <row r="15" spans="1:8" ht="16">
      <c r="A15" s="123">
        <v>3950</v>
      </c>
      <c r="B15" s="124" t="s">
        <v>68</v>
      </c>
      <c r="C15" s="54">
        <f t="shared" si="0"/>
        <v>0</v>
      </c>
      <c r="D15" s="131"/>
      <c r="E15" s="126"/>
      <c r="F15" s="54"/>
      <c r="G15" s="129"/>
      <c r="H15" s="129"/>
    </row>
    <row r="16" spans="1:8" ht="16">
      <c r="A16" s="123">
        <v>3960</v>
      </c>
      <c r="B16" s="124" t="s">
        <v>69</v>
      </c>
      <c r="C16" s="54">
        <f t="shared" si="0"/>
        <v>0</v>
      </c>
      <c r="D16" s="131"/>
      <c r="E16" s="126"/>
      <c r="F16" s="54"/>
      <c r="G16" s="129"/>
      <c r="H16" s="129"/>
    </row>
    <row r="17" spans="1:8" ht="16">
      <c r="A17" s="123">
        <v>3970</v>
      </c>
      <c r="B17" s="124" t="s">
        <v>70</v>
      </c>
      <c r="C17" s="54">
        <f t="shared" si="0"/>
        <v>0</v>
      </c>
      <c r="D17" s="131"/>
      <c r="E17" s="126"/>
      <c r="F17" s="54">
        <f>G17+H9+H17</f>
        <v>180000</v>
      </c>
      <c r="G17" s="129"/>
      <c r="H17" s="129"/>
    </row>
    <row r="18" spans="1:8" ht="16">
      <c r="A18" s="123">
        <v>3990</v>
      </c>
      <c r="B18" s="124" t="s">
        <v>71</v>
      </c>
      <c r="C18" s="54">
        <f t="shared" si="0"/>
        <v>85000</v>
      </c>
      <c r="D18" s="131">
        <v>85000</v>
      </c>
      <c r="E18" s="126"/>
      <c r="F18" s="54"/>
      <c r="G18" s="129"/>
      <c r="H18" s="129"/>
    </row>
    <row r="19" spans="1:8" ht="16">
      <c r="A19" s="123">
        <v>3991</v>
      </c>
      <c r="B19" s="124" t="s">
        <v>72</v>
      </c>
      <c r="C19" s="54">
        <f t="shared" si="0"/>
        <v>0</v>
      </c>
      <c r="D19" s="131"/>
      <c r="E19" s="126"/>
      <c r="F19" s="54"/>
      <c r="G19" s="54"/>
      <c r="H19" s="54"/>
    </row>
    <row r="20" spans="1:8" ht="16">
      <c r="A20" s="159" t="s">
        <v>74</v>
      </c>
      <c r="B20" s="156"/>
      <c r="C20" s="82">
        <f t="shared" si="0"/>
        <v>655000</v>
      </c>
      <c r="D20" s="132">
        <f>SUM(D2:D19)</f>
        <v>415000</v>
      </c>
      <c r="E20" s="132">
        <f>SUM(E2:E19)</f>
        <v>240000</v>
      </c>
      <c r="F20" s="82">
        <f>G20+H12+H20</f>
        <v>687000</v>
      </c>
      <c r="G20" s="134">
        <f t="shared" ref="G20:H20" si="1">SUM(G3:G18)</f>
        <v>507000</v>
      </c>
      <c r="H20" s="134">
        <f t="shared" si="1"/>
        <v>180000</v>
      </c>
    </row>
    <row r="21" spans="1:8" ht="15.75" customHeight="1">
      <c r="A21" s="124"/>
      <c r="B21" s="124"/>
      <c r="C21" s="54"/>
      <c r="D21" s="126"/>
      <c r="E21" s="126"/>
      <c r="F21" s="54"/>
      <c r="G21" s="109"/>
      <c r="H21" s="109"/>
    </row>
    <row r="22" spans="1:8" ht="15.75" customHeight="1">
      <c r="A22" s="160" t="s">
        <v>75</v>
      </c>
      <c r="B22" s="152"/>
      <c r="C22" s="136"/>
      <c r="D22" s="137"/>
      <c r="E22" s="137"/>
      <c r="F22" s="136"/>
      <c r="G22" s="138"/>
      <c r="H22" s="138"/>
    </row>
    <row r="23" spans="1:8" ht="15.75" customHeight="1">
      <c r="A23" s="123">
        <v>5010</v>
      </c>
      <c r="B23" s="124" t="s">
        <v>76</v>
      </c>
      <c r="C23" s="54">
        <f t="shared" ref="C23:C40" si="2">SUM(D23+E23)</f>
        <v>0</v>
      </c>
      <c r="D23" s="131"/>
      <c r="E23" s="126"/>
      <c r="F23" s="54"/>
      <c r="G23" s="129"/>
      <c r="H23" s="129"/>
    </row>
    <row r="24" spans="1:8" ht="15.75" customHeight="1">
      <c r="A24" s="123">
        <v>5011</v>
      </c>
      <c r="B24" s="124" t="s">
        <v>77</v>
      </c>
      <c r="C24" s="54">
        <f t="shared" si="2"/>
        <v>0</v>
      </c>
      <c r="D24" s="131"/>
      <c r="E24" s="126"/>
      <c r="F24" s="54"/>
      <c r="G24" s="129"/>
      <c r="H24" s="129"/>
    </row>
    <row r="25" spans="1:8" ht="15.75" customHeight="1">
      <c r="A25" s="123">
        <v>5020</v>
      </c>
      <c r="B25" s="124" t="s">
        <v>78</v>
      </c>
      <c r="C25" s="54">
        <f t="shared" si="2"/>
        <v>0</v>
      </c>
      <c r="D25" s="131"/>
      <c r="E25" s="126"/>
      <c r="F25" s="54"/>
      <c r="G25" s="129"/>
      <c r="H25" s="129"/>
    </row>
    <row r="26" spans="1:8" ht="15.75" customHeight="1">
      <c r="A26" s="123">
        <v>5090</v>
      </c>
      <c r="B26" s="124" t="s">
        <v>79</v>
      </c>
      <c r="C26" s="54">
        <f t="shared" si="2"/>
        <v>0</v>
      </c>
      <c r="D26" s="131"/>
      <c r="E26" s="126"/>
      <c r="F26" s="54"/>
      <c r="G26" s="129"/>
      <c r="H26" s="129"/>
    </row>
    <row r="27" spans="1:8" ht="15.75" customHeight="1">
      <c r="A27" s="123">
        <v>5250</v>
      </c>
      <c r="B27" s="124" t="s">
        <v>80</v>
      </c>
      <c r="C27" s="54">
        <f t="shared" si="2"/>
        <v>0</v>
      </c>
      <c r="D27" s="131"/>
      <c r="E27" s="126"/>
      <c r="F27" s="54"/>
      <c r="G27" s="129"/>
      <c r="H27" s="129"/>
    </row>
    <row r="28" spans="1:8" ht="15.75" customHeight="1">
      <c r="A28" s="123">
        <v>5270</v>
      </c>
      <c r="B28" s="124" t="s">
        <v>81</v>
      </c>
      <c r="C28" s="54">
        <f t="shared" si="2"/>
        <v>0</v>
      </c>
      <c r="D28" s="131"/>
      <c r="E28" s="126"/>
      <c r="F28" s="54"/>
      <c r="G28" s="129"/>
      <c r="H28" s="129"/>
    </row>
    <row r="29" spans="1:8" ht="15.75" customHeight="1">
      <c r="A29" s="123">
        <v>5290</v>
      </c>
      <c r="B29" s="124" t="s">
        <v>82</v>
      </c>
      <c r="C29" s="54">
        <f t="shared" si="2"/>
        <v>0</v>
      </c>
      <c r="D29" s="131"/>
      <c r="E29" s="126"/>
      <c r="F29" s="54"/>
      <c r="G29" s="129"/>
      <c r="H29" s="129"/>
    </row>
    <row r="30" spans="1:8" ht="15.75" customHeight="1">
      <c r="A30" s="123">
        <v>5310</v>
      </c>
      <c r="B30" s="124" t="s">
        <v>83</v>
      </c>
      <c r="C30" s="54">
        <f t="shared" si="2"/>
        <v>0</v>
      </c>
      <c r="D30" s="131"/>
      <c r="E30" s="126"/>
      <c r="F30" s="54"/>
      <c r="G30" s="129"/>
      <c r="H30" s="129"/>
    </row>
    <row r="31" spans="1:8" ht="15.75" customHeight="1">
      <c r="A31" s="123">
        <v>5330</v>
      </c>
      <c r="B31" s="124" t="s">
        <v>84</v>
      </c>
      <c r="C31" s="54">
        <f t="shared" si="2"/>
        <v>0</v>
      </c>
      <c r="D31" s="131"/>
      <c r="E31" s="126"/>
      <c r="F31" s="54"/>
      <c r="G31" s="129"/>
      <c r="H31" s="129"/>
    </row>
    <row r="32" spans="1:8" ht="15.75" customHeight="1">
      <c r="A32" s="123">
        <v>5350</v>
      </c>
      <c r="B32" s="124" t="s">
        <v>85</v>
      </c>
      <c r="C32" s="54">
        <f t="shared" si="2"/>
        <v>0</v>
      </c>
      <c r="D32" s="131"/>
      <c r="E32" s="126"/>
      <c r="F32" s="54"/>
      <c r="G32" s="129"/>
      <c r="H32" s="129"/>
    </row>
    <row r="33" spans="1:8" ht="15.75" customHeight="1">
      <c r="A33" s="123">
        <v>5400</v>
      </c>
      <c r="B33" s="124" t="s">
        <v>86</v>
      </c>
      <c r="C33" s="54">
        <f t="shared" si="2"/>
        <v>0</v>
      </c>
      <c r="D33" s="131"/>
      <c r="E33" s="126"/>
      <c r="F33" s="54"/>
      <c r="G33" s="54"/>
      <c r="H33" s="54"/>
    </row>
    <row r="34" spans="1:8" ht="15.75" customHeight="1">
      <c r="A34" s="123">
        <v>5411</v>
      </c>
      <c r="B34" s="124" t="s">
        <v>87</v>
      </c>
      <c r="C34" s="54">
        <f t="shared" si="2"/>
        <v>0</v>
      </c>
      <c r="D34" s="131"/>
      <c r="E34" s="126"/>
      <c r="F34" s="54"/>
      <c r="G34" s="54"/>
      <c r="H34" s="54"/>
    </row>
    <row r="35" spans="1:8" ht="15.75" customHeight="1">
      <c r="A35" s="123">
        <v>5510</v>
      </c>
      <c r="B35" s="124" t="s">
        <v>88</v>
      </c>
      <c r="C35" s="54">
        <f t="shared" si="2"/>
        <v>0</v>
      </c>
      <c r="D35" s="131"/>
      <c r="E35" s="126"/>
      <c r="F35" s="54"/>
      <c r="G35" s="54"/>
      <c r="H35" s="54"/>
    </row>
    <row r="36" spans="1:8" ht="15.75" customHeight="1">
      <c r="A36" s="123">
        <v>5900</v>
      </c>
      <c r="B36" s="124" t="s">
        <v>89</v>
      </c>
      <c r="C36" s="54">
        <f t="shared" si="2"/>
        <v>0</v>
      </c>
      <c r="D36" s="131"/>
      <c r="E36" s="126"/>
      <c r="F36" s="54"/>
      <c r="G36" s="54"/>
      <c r="H36" s="54"/>
    </row>
    <row r="37" spans="1:8" ht="15.75" customHeight="1">
      <c r="A37" s="123">
        <v>5910</v>
      </c>
      <c r="B37" s="124" t="s">
        <v>90</v>
      </c>
      <c r="C37" s="54">
        <f t="shared" si="2"/>
        <v>0</v>
      </c>
      <c r="D37" s="131"/>
      <c r="E37" s="126"/>
      <c r="F37" s="54"/>
      <c r="G37" s="54"/>
      <c r="H37" s="54"/>
    </row>
    <row r="38" spans="1:8" ht="15.75" customHeight="1">
      <c r="A38" s="123">
        <v>5945</v>
      </c>
      <c r="B38" s="124" t="s">
        <v>91</v>
      </c>
      <c r="C38" s="54">
        <f t="shared" si="2"/>
        <v>0</v>
      </c>
      <c r="D38" s="131"/>
      <c r="E38" s="126"/>
      <c r="F38" s="54"/>
      <c r="G38" s="54"/>
      <c r="H38" s="54"/>
    </row>
    <row r="39" spans="1:8" ht="15.75" customHeight="1">
      <c r="A39" s="123">
        <v>5990</v>
      </c>
      <c r="B39" s="124" t="s">
        <v>92</v>
      </c>
      <c r="C39" s="54">
        <f t="shared" si="2"/>
        <v>0</v>
      </c>
      <c r="D39" s="131"/>
      <c r="E39" s="126"/>
      <c r="F39" s="54"/>
      <c r="G39" s="54"/>
      <c r="H39" s="54"/>
    </row>
    <row r="40" spans="1:8" ht="15.75" customHeight="1">
      <c r="A40" s="161" t="s">
        <v>93</v>
      </c>
      <c r="B40" s="156"/>
      <c r="C40" s="66">
        <f t="shared" si="2"/>
        <v>0</v>
      </c>
      <c r="D40" s="132">
        <f>SUM(D23:D39)</f>
        <v>0</v>
      </c>
      <c r="E40" s="133">
        <v>0</v>
      </c>
      <c r="F40" s="66">
        <v>0</v>
      </c>
      <c r="G40" s="134">
        <f t="shared" ref="G40:H40" si="3">SUM(G23:G32)</f>
        <v>0</v>
      </c>
      <c r="H40" s="134">
        <f t="shared" si="3"/>
        <v>0</v>
      </c>
    </row>
    <row r="41" spans="1:8" ht="15.75" customHeight="1">
      <c r="A41" s="124"/>
      <c r="B41" s="124"/>
      <c r="C41" s="54"/>
      <c r="D41" s="126"/>
      <c r="E41" s="126"/>
      <c r="F41" s="54"/>
      <c r="G41" s="109"/>
      <c r="H41" s="109"/>
    </row>
    <row r="42" spans="1:8" ht="15.75" customHeight="1">
      <c r="A42" s="157" t="s">
        <v>99</v>
      </c>
      <c r="B42" s="152"/>
      <c r="C42" s="136"/>
      <c r="D42" s="137"/>
      <c r="E42" s="137"/>
      <c r="F42" s="136"/>
      <c r="G42" s="138"/>
      <c r="H42" s="138"/>
    </row>
    <row r="43" spans="1:8" ht="15.75" customHeight="1">
      <c r="A43" s="123">
        <v>4110</v>
      </c>
      <c r="B43" s="124" t="s">
        <v>100</v>
      </c>
      <c r="C43" s="54">
        <f t="shared" ref="C43:C110" si="4">SUM(D43:E43)</f>
        <v>0</v>
      </c>
      <c r="D43" s="131"/>
      <c r="E43" s="126"/>
      <c r="F43" s="54"/>
      <c r="G43" s="129"/>
      <c r="H43" s="129"/>
    </row>
    <row r="44" spans="1:8" ht="15.75" customHeight="1">
      <c r="A44" s="123">
        <v>4120</v>
      </c>
      <c r="B44" s="124" t="s">
        <v>101</v>
      </c>
      <c r="C44" s="54">
        <f t="shared" si="4"/>
        <v>0</v>
      </c>
      <c r="D44" s="131"/>
      <c r="E44" s="126"/>
      <c r="F44" s="54"/>
      <c r="G44" s="129"/>
      <c r="H44" s="129"/>
    </row>
    <row r="45" spans="1:8" ht="15.75" customHeight="1">
      <c r="A45" s="123">
        <v>4150</v>
      </c>
      <c r="B45" s="124" t="s">
        <v>102</v>
      </c>
      <c r="C45" s="54">
        <f t="shared" si="4"/>
        <v>0</v>
      </c>
      <c r="D45" s="131"/>
      <c r="E45" s="126"/>
      <c r="F45" s="54"/>
      <c r="G45" s="129"/>
      <c r="H45" s="129"/>
    </row>
    <row r="46" spans="1:8" ht="15.75" customHeight="1">
      <c r="A46" s="123">
        <v>4200</v>
      </c>
      <c r="B46" s="124" t="s">
        <v>103</v>
      </c>
      <c r="C46" s="54">
        <f t="shared" si="4"/>
        <v>0</v>
      </c>
      <c r="D46" s="131"/>
      <c r="E46" s="126"/>
      <c r="F46" s="54"/>
      <c r="G46" s="129"/>
      <c r="H46" s="129"/>
    </row>
    <row r="47" spans="1:8" ht="15.75" customHeight="1">
      <c r="A47" s="123">
        <v>4300</v>
      </c>
      <c r="B47" s="124" t="s">
        <v>104</v>
      </c>
      <c r="C47" s="54">
        <f t="shared" si="4"/>
        <v>0</v>
      </c>
      <c r="D47" s="131"/>
      <c r="E47" s="126"/>
      <c r="F47" s="54"/>
      <c r="G47" s="129"/>
      <c r="H47" s="129"/>
    </row>
    <row r="48" spans="1:8" ht="15.75" customHeight="1">
      <c r="A48" s="123">
        <v>4350</v>
      </c>
      <c r="B48" s="124" t="s">
        <v>105</v>
      </c>
      <c r="C48" s="54">
        <f t="shared" si="4"/>
        <v>0</v>
      </c>
      <c r="D48" s="131"/>
      <c r="E48" s="126"/>
      <c r="F48" s="54"/>
      <c r="G48" s="129"/>
      <c r="H48" s="129"/>
    </row>
    <row r="49" spans="1:8" ht="15.75" customHeight="1">
      <c r="A49" s="123">
        <v>4500</v>
      </c>
      <c r="B49" s="124" t="s">
        <v>106</v>
      </c>
      <c r="C49" s="54">
        <f t="shared" si="4"/>
        <v>0</v>
      </c>
      <c r="D49" s="131"/>
      <c r="E49" s="126"/>
      <c r="F49" s="54"/>
      <c r="G49" s="54"/>
      <c r="H49" s="54"/>
    </row>
    <row r="50" spans="1:8" ht="15.75" customHeight="1">
      <c r="A50" s="123">
        <v>4510</v>
      </c>
      <c r="B50" s="124" t="s">
        <v>107</v>
      </c>
      <c r="C50" s="54">
        <f t="shared" si="4"/>
        <v>0</v>
      </c>
      <c r="D50" s="131"/>
      <c r="E50" s="126"/>
      <c r="F50" s="54"/>
      <c r="G50" s="129"/>
      <c r="H50" s="129"/>
    </row>
    <row r="51" spans="1:8" ht="15.75" customHeight="1">
      <c r="A51" s="123">
        <v>4590</v>
      </c>
      <c r="B51" s="124" t="s">
        <v>108</v>
      </c>
      <c r="C51" s="54">
        <f t="shared" si="4"/>
        <v>0</v>
      </c>
      <c r="D51" s="131"/>
      <c r="E51" s="126"/>
      <c r="F51" s="54"/>
      <c r="G51" s="129"/>
      <c r="H51" s="129"/>
    </row>
    <row r="52" spans="1:8" ht="15.75" customHeight="1">
      <c r="A52" s="123">
        <v>4700</v>
      </c>
      <c r="B52" s="124" t="s">
        <v>109</v>
      </c>
      <c r="C52" s="54">
        <f t="shared" si="4"/>
        <v>0</v>
      </c>
      <c r="D52" s="131"/>
      <c r="E52" s="126"/>
      <c r="F52" s="54"/>
      <c r="G52" s="54"/>
      <c r="H52" s="129"/>
    </row>
    <row r="53" spans="1:8" ht="15.75" customHeight="1">
      <c r="A53" s="123">
        <v>4800</v>
      </c>
      <c r="B53" s="124" t="s">
        <v>110</v>
      </c>
      <c r="C53" s="54">
        <f t="shared" si="4"/>
        <v>0</v>
      </c>
      <c r="D53" s="131"/>
      <c r="E53" s="126"/>
      <c r="F53" s="54"/>
      <c r="G53" s="129"/>
      <c r="H53" s="129"/>
    </row>
    <row r="54" spans="1:8" ht="15.75" customHeight="1">
      <c r="A54" s="123">
        <v>4990</v>
      </c>
      <c r="B54" s="124" t="s">
        <v>111</v>
      </c>
      <c r="C54" s="54">
        <f t="shared" si="4"/>
        <v>5000</v>
      </c>
      <c r="D54" s="131">
        <v>5000</v>
      </c>
      <c r="E54" s="126"/>
      <c r="F54" s="54">
        <f>G54+H54</f>
        <v>25000</v>
      </c>
      <c r="G54" s="129">
        <v>25000</v>
      </c>
      <c r="H54" s="129"/>
    </row>
    <row r="55" spans="1:8" ht="15.75" customHeight="1">
      <c r="A55" s="123">
        <v>6010</v>
      </c>
      <c r="B55" s="124" t="s">
        <v>96</v>
      </c>
      <c r="C55" s="54">
        <f t="shared" si="4"/>
        <v>30000</v>
      </c>
      <c r="D55" s="131">
        <v>30000</v>
      </c>
      <c r="E55" s="126"/>
      <c r="F55" s="54"/>
      <c r="G55" s="54"/>
      <c r="H55" s="54"/>
    </row>
    <row r="56" spans="1:8" ht="15.75" customHeight="1">
      <c r="A56" s="123">
        <v>6015</v>
      </c>
      <c r="B56" s="124" t="s">
        <v>112</v>
      </c>
      <c r="C56" s="54">
        <f t="shared" si="4"/>
        <v>0</v>
      </c>
      <c r="D56" s="131"/>
      <c r="E56" s="126"/>
      <c r="F56" s="54"/>
      <c r="G56" s="54"/>
      <c r="H56" s="54"/>
    </row>
    <row r="57" spans="1:8" ht="15.75" customHeight="1">
      <c r="A57" s="123">
        <v>6100</v>
      </c>
      <c r="B57" s="124" t="s">
        <v>113</v>
      </c>
      <c r="C57" s="54">
        <f t="shared" si="4"/>
        <v>0</v>
      </c>
      <c r="D57" s="131"/>
      <c r="E57" s="126"/>
      <c r="F57" s="54"/>
      <c r="G57" s="129"/>
      <c r="H57" s="129"/>
    </row>
    <row r="58" spans="1:8" ht="15.75" customHeight="1">
      <c r="A58" s="123">
        <v>6110</v>
      </c>
      <c r="B58" s="124" t="s">
        <v>114</v>
      </c>
      <c r="C58" s="54">
        <f t="shared" si="4"/>
        <v>0</v>
      </c>
      <c r="D58" s="131"/>
      <c r="E58" s="126"/>
      <c r="F58" s="54"/>
      <c r="G58" s="54"/>
      <c r="H58" s="54"/>
    </row>
    <row r="59" spans="1:8" ht="15.75" customHeight="1">
      <c r="A59" s="123">
        <v>6300</v>
      </c>
      <c r="B59" s="124" t="s">
        <v>115</v>
      </c>
      <c r="C59" s="54">
        <f t="shared" si="4"/>
        <v>0</v>
      </c>
      <c r="D59" s="131"/>
      <c r="E59" s="126"/>
      <c r="F59" s="54"/>
      <c r="G59" s="54"/>
      <c r="H59" s="54"/>
    </row>
    <row r="60" spans="1:8" ht="15.75" customHeight="1">
      <c r="A60" s="123">
        <v>6320</v>
      </c>
      <c r="B60" s="124" t="s">
        <v>116</v>
      </c>
      <c r="C60" s="54">
        <f t="shared" si="4"/>
        <v>45000</v>
      </c>
      <c r="D60" s="131">
        <v>45000</v>
      </c>
      <c r="E60" s="126"/>
      <c r="F60" s="54">
        <f t="shared" ref="F60:F61" si="5">G60+H60</f>
        <v>60000</v>
      </c>
      <c r="G60" s="129">
        <v>45000</v>
      </c>
      <c r="H60" s="129">
        <v>15000</v>
      </c>
    </row>
    <row r="61" spans="1:8" ht="15.75" customHeight="1">
      <c r="A61" s="123">
        <v>6340</v>
      </c>
      <c r="B61" s="124" t="s">
        <v>117</v>
      </c>
      <c r="C61" s="54">
        <f t="shared" si="4"/>
        <v>0</v>
      </c>
      <c r="D61" s="131"/>
      <c r="E61" s="126"/>
      <c r="F61" s="54">
        <f t="shared" si="5"/>
        <v>70000</v>
      </c>
      <c r="G61" s="129">
        <v>45000</v>
      </c>
      <c r="H61" s="129">
        <v>25000</v>
      </c>
    </row>
    <row r="62" spans="1:8" ht="15.75" customHeight="1">
      <c r="A62" s="123">
        <v>6360</v>
      </c>
      <c r="B62" s="124" t="s">
        <v>118</v>
      </c>
      <c r="C62" s="54">
        <f t="shared" si="4"/>
        <v>0</v>
      </c>
      <c r="D62" s="131"/>
      <c r="E62" s="126"/>
      <c r="F62" s="54"/>
      <c r="G62" s="129"/>
      <c r="H62" s="129"/>
    </row>
    <row r="63" spans="1:8" ht="15.75" customHeight="1">
      <c r="A63" s="123">
        <v>6390</v>
      </c>
      <c r="B63" s="124" t="s">
        <v>119</v>
      </c>
      <c r="C63" s="54">
        <f t="shared" si="4"/>
        <v>0</v>
      </c>
      <c r="D63" s="131"/>
      <c r="E63" s="126"/>
      <c r="F63" s="54"/>
      <c r="G63" s="129"/>
      <c r="H63" s="129"/>
    </row>
    <row r="64" spans="1:8" ht="15.75" customHeight="1">
      <c r="A64" s="123">
        <v>6420</v>
      </c>
      <c r="B64" s="124" t="s">
        <v>120</v>
      </c>
      <c r="C64" s="54">
        <f t="shared" si="4"/>
        <v>0</v>
      </c>
      <c r="D64" s="131"/>
      <c r="E64" s="126"/>
      <c r="F64" s="54"/>
      <c r="G64" s="129"/>
      <c r="H64" s="129"/>
    </row>
    <row r="65" spans="1:8" ht="15.75" customHeight="1">
      <c r="A65" s="123">
        <v>6440</v>
      </c>
      <c r="B65" s="124" t="s">
        <v>121</v>
      </c>
      <c r="C65" s="54">
        <f t="shared" si="4"/>
        <v>0</v>
      </c>
      <c r="D65" s="131"/>
      <c r="E65" s="126"/>
      <c r="F65" s="54"/>
      <c r="G65" s="54"/>
      <c r="H65" s="129"/>
    </row>
    <row r="66" spans="1:8" ht="15.75" customHeight="1">
      <c r="A66" s="123">
        <v>6490</v>
      </c>
      <c r="B66" s="124" t="s">
        <v>122</v>
      </c>
      <c r="C66" s="54">
        <f t="shared" si="4"/>
        <v>0</v>
      </c>
      <c r="D66" s="131"/>
      <c r="E66" s="126"/>
      <c r="F66" s="54"/>
      <c r="G66" s="129"/>
      <c r="H66" s="129"/>
    </row>
    <row r="67" spans="1:8" ht="15.75" customHeight="1">
      <c r="A67" s="123">
        <v>6540</v>
      </c>
      <c r="B67" s="124" t="s">
        <v>123</v>
      </c>
      <c r="C67" s="54">
        <f t="shared" si="4"/>
        <v>60000</v>
      </c>
      <c r="D67" s="131">
        <v>0</v>
      </c>
      <c r="E67" s="126">
        <v>60000</v>
      </c>
      <c r="F67" s="54"/>
      <c r="G67" s="54"/>
      <c r="H67" s="129"/>
    </row>
    <row r="68" spans="1:8" ht="15.75" customHeight="1">
      <c r="A68" s="123">
        <v>6550</v>
      </c>
      <c r="B68" s="124" t="s">
        <v>124</v>
      </c>
      <c r="C68" s="54">
        <f t="shared" si="4"/>
        <v>0</v>
      </c>
      <c r="D68" s="126"/>
      <c r="E68" s="126"/>
      <c r="F68" s="54">
        <f>G68+H68</f>
        <v>10000</v>
      </c>
      <c r="G68" s="129">
        <v>10000</v>
      </c>
      <c r="H68" s="129"/>
    </row>
    <row r="69" spans="1:8" ht="15.75" customHeight="1">
      <c r="A69" s="123">
        <v>6570</v>
      </c>
      <c r="B69" s="124" t="s">
        <v>125</v>
      </c>
      <c r="C69" s="54">
        <f t="shared" si="4"/>
        <v>0</v>
      </c>
      <c r="D69" s="126"/>
      <c r="E69" s="126"/>
      <c r="F69" s="54"/>
      <c r="G69" s="129"/>
      <c r="H69" s="129"/>
    </row>
    <row r="70" spans="1:8" ht="15.75" customHeight="1">
      <c r="A70" s="123" t="s">
        <v>126</v>
      </c>
      <c r="B70" s="124" t="s">
        <v>127</v>
      </c>
      <c r="C70" s="54">
        <f t="shared" si="4"/>
        <v>220000</v>
      </c>
      <c r="D70" s="131">
        <v>220000</v>
      </c>
      <c r="E70" s="126"/>
      <c r="F70" s="54">
        <f>G4+G70+H70</f>
        <v>280000</v>
      </c>
      <c r="G70" s="129">
        <v>200000</v>
      </c>
      <c r="H70" s="129">
        <f>10000+50000+10000+10000</f>
        <v>80000</v>
      </c>
    </row>
    <row r="71" spans="1:8" ht="15.75" customHeight="1">
      <c r="A71" s="123">
        <v>6620</v>
      </c>
      <c r="B71" s="124" t="s">
        <v>128</v>
      </c>
      <c r="C71" s="54">
        <f t="shared" si="4"/>
        <v>15000</v>
      </c>
      <c r="D71" s="131">
        <v>15000</v>
      </c>
      <c r="E71" s="126"/>
      <c r="F71" s="54"/>
      <c r="G71" s="129"/>
      <c r="H71" s="129"/>
    </row>
    <row r="72" spans="1:8" ht="15.75" customHeight="1">
      <c r="A72" s="123">
        <v>6700</v>
      </c>
      <c r="B72" s="124" t="s">
        <v>129</v>
      </c>
      <c r="C72" s="54">
        <f t="shared" si="4"/>
        <v>0</v>
      </c>
      <c r="D72" s="131"/>
      <c r="E72" s="126"/>
      <c r="F72" s="54"/>
      <c r="G72" s="129"/>
      <c r="H72" s="129"/>
    </row>
    <row r="73" spans="1:8" ht="15.75" customHeight="1">
      <c r="A73" s="123">
        <v>6712</v>
      </c>
      <c r="B73" s="124" t="s">
        <v>130</v>
      </c>
      <c r="C73" s="54">
        <f t="shared" si="4"/>
        <v>0</v>
      </c>
      <c r="D73" s="131"/>
      <c r="E73" s="126"/>
      <c r="F73" s="54"/>
      <c r="G73" s="129"/>
      <c r="H73" s="129"/>
    </row>
    <row r="74" spans="1:8" ht="15.75" customHeight="1">
      <c r="A74" s="123">
        <v>6730</v>
      </c>
      <c r="B74" s="124" t="s">
        <v>131</v>
      </c>
      <c r="C74" s="54">
        <f t="shared" si="4"/>
        <v>0</v>
      </c>
      <c r="D74" s="131"/>
      <c r="E74" s="126"/>
      <c r="F74" s="54"/>
      <c r="G74" s="54"/>
      <c r="H74" s="129"/>
    </row>
    <row r="75" spans="1:8" ht="15.75" customHeight="1">
      <c r="A75" s="123">
        <v>6790</v>
      </c>
      <c r="B75" s="124" t="s">
        <v>132</v>
      </c>
      <c r="C75" s="54">
        <f t="shared" si="4"/>
        <v>47000</v>
      </c>
      <c r="D75" s="131">
        <v>47000</v>
      </c>
      <c r="E75" s="126"/>
      <c r="F75" s="54">
        <f>G75+H75</f>
        <v>120000</v>
      </c>
      <c r="G75" s="129">
        <v>120000</v>
      </c>
      <c r="H75" s="129"/>
    </row>
    <row r="76" spans="1:8" ht="15.75" customHeight="1">
      <c r="A76" s="123">
        <v>6800</v>
      </c>
      <c r="B76" s="124" t="s">
        <v>133</v>
      </c>
      <c r="C76" s="54">
        <f t="shared" si="4"/>
        <v>0</v>
      </c>
      <c r="D76" s="131"/>
      <c r="E76" s="126"/>
      <c r="F76" s="54"/>
      <c r="G76" s="129"/>
      <c r="H76" s="129"/>
    </row>
    <row r="77" spans="1:8" ht="15.75" customHeight="1">
      <c r="A77" s="123">
        <v>6810</v>
      </c>
      <c r="B77" s="124" t="s">
        <v>134</v>
      </c>
      <c r="C77" s="54">
        <f t="shared" si="4"/>
        <v>0</v>
      </c>
      <c r="D77" s="131"/>
      <c r="E77" s="126"/>
      <c r="F77" s="54"/>
      <c r="G77" s="129"/>
      <c r="H77" s="129"/>
    </row>
    <row r="78" spans="1:8" ht="15.75" customHeight="1">
      <c r="A78" s="123">
        <v>6811</v>
      </c>
      <c r="B78" s="124" t="s">
        <v>135</v>
      </c>
      <c r="C78" s="54">
        <f t="shared" si="4"/>
        <v>0</v>
      </c>
      <c r="D78" s="131"/>
      <c r="E78" s="126"/>
      <c r="F78" s="54"/>
      <c r="G78" s="129"/>
      <c r="H78" s="129"/>
    </row>
    <row r="79" spans="1:8" ht="15.75" customHeight="1">
      <c r="A79" s="123">
        <v>6820</v>
      </c>
      <c r="B79" s="124" t="s">
        <v>136</v>
      </c>
      <c r="C79" s="54">
        <f t="shared" si="4"/>
        <v>0</v>
      </c>
      <c r="D79" s="131"/>
      <c r="E79" s="126"/>
      <c r="F79" s="54"/>
      <c r="G79" s="129"/>
      <c r="H79" s="129"/>
    </row>
    <row r="80" spans="1:8" ht="15.75" customHeight="1">
      <c r="A80" s="123">
        <v>6840</v>
      </c>
      <c r="B80" s="124" t="s">
        <v>137</v>
      </c>
      <c r="C80" s="54">
        <f t="shared" si="4"/>
        <v>0</v>
      </c>
      <c r="D80" s="131"/>
      <c r="E80" s="126"/>
      <c r="F80" s="54"/>
      <c r="G80" s="129"/>
      <c r="H80" s="129"/>
    </row>
    <row r="81" spans="1:8" ht="15.75" customHeight="1">
      <c r="A81" s="123">
        <v>6860</v>
      </c>
      <c r="B81" s="124" t="s">
        <v>138</v>
      </c>
      <c r="C81" s="54">
        <f t="shared" si="4"/>
        <v>0</v>
      </c>
      <c r="D81" s="131"/>
      <c r="E81" s="126"/>
      <c r="F81" s="54"/>
      <c r="G81" s="129"/>
      <c r="H81" s="129"/>
    </row>
    <row r="82" spans="1:8" ht="15.75" customHeight="1">
      <c r="A82" s="123">
        <v>6900</v>
      </c>
      <c r="B82" s="124" t="s">
        <v>139</v>
      </c>
      <c r="C82" s="54">
        <f t="shared" si="4"/>
        <v>0</v>
      </c>
      <c r="D82" s="131"/>
      <c r="E82" s="126"/>
      <c r="F82" s="54">
        <f>G82+H82</f>
        <v>7500</v>
      </c>
      <c r="G82" s="129">
        <v>7500</v>
      </c>
      <c r="H82" s="129"/>
    </row>
    <row r="83" spans="1:8" ht="15.75" customHeight="1">
      <c r="A83" s="123">
        <v>6940</v>
      </c>
      <c r="B83" s="124" t="s">
        <v>140</v>
      </c>
      <c r="C83" s="54">
        <f t="shared" si="4"/>
        <v>0</v>
      </c>
      <c r="D83" s="131"/>
      <c r="E83" s="126"/>
      <c r="F83" s="54"/>
      <c r="G83" s="54"/>
      <c r="H83" s="54"/>
    </row>
    <row r="84" spans="1:8" ht="15.75" customHeight="1">
      <c r="A84" s="123">
        <v>7100</v>
      </c>
      <c r="B84" s="124" t="s">
        <v>141</v>
      </c>
      <c r="C84" s="54">
        <f t="shared" si="4"/>
        <v>0</v>
      </c>
      <c r="D84" s="131"/>
      <c r="E84" s="126"/>
      <c r="F84" s="54"/>
      <c r="G84" s="129"/>
      <c r="H84" s="129"/>
    </row>
    <row r="85" spans="1:8" ht="15.75" customHeight="1">
      <c r="A85" s="123">
        <v>7101</v>
      </c>
      <c r="B85" s="124" t="s">
        <v>142</v>
      </c>
      <c r="C85" s="54">
        <f t="shared" si="4"/>
        <v>0</v>
      </c>
      <c r="D85" s="131"/>
      <c r="E85" s="126"/>
      <c r="F85" s="54"/>
      <c r="G85" s="54"/>
      <c r="H85" s="129"/>
    </row>
    <row r="86" spans="1:8" ht="15.75" customHeight="1">
      <c r="A86" s="123">
        <v>7110</v>
      </c>
      <c r="B86" s="124" t="s">
        <v>143</v>
      </c>
      <c r="C86" s="54">
        <f t="shared" si="4"/>
        <v>0</v>
      </c>
      <c r="D86" s="131"/>
      <c r="E86" s="126"/>
      <c r="F86" s="54"/>
      <c r="G86" s="129"/>
      <c r="H86" s="129"/>
    </row>
    <row r="87" spans="1:8" ht="15.75" customHeight="1">
      <c r="A87" s="123">
        <v>7140</v>
      </c>
      <c r="B87" s="124" t="s">
        <v>144</v>
      </c>
      <c r="C87" s="54">
        <f t="shared" si="4"/>
        <v>0</v>
      </c>
      <c r="D87" s="131"/>
      <c r="E87" s="126"/>
      <c r="F87" s="54"/>
      <c r="G87" s="129"/>
      <c r="H87" s="129"/>
    </row>
    <row r="88" spans="1:8" ht="15.75" customHeight="1">
      <c r="A88" s="123">
        <v>7150</v>
      </c>
      <c r="B88" s="124" t="s">
        <v>145</v>
      </c>
      <c r="C88" s="54">
        <f t="shared" si="4"/>
        <v>0</v>
      </c>
      <c r="D88" s="131"/>
      <c r="E88" s="126"/>
      <c r="F88" s="54"/>
      <c r="G88" s="129"/>
      <c r="H88" s="54"/>
    </row>
    <row r="89" spans="1:8" ht="15.75" customHeight="1">
      <c r="A89" s="123">
        <v>7300</v>
      </c>
      <c r="B89" s="124" t="s">
        <v>147</v>
      </c>
      <c r="C89" s="54">
        <f t="shared" si="4"/>
        <v>0</v>
      </c>
      <c r="D89" s="131"/>
      <c r="E89" s="126"/>
      <c r="F89" s="54"/>
      <c r="G89" s="129"/>
      <c r="H89" s="129"/>
    </row>
    <row r="90" spans="1:8" ht="15.75" customHeight="1">
      <c r="A90" s="123">
        <v>7320</v>
      </c>
      <c r="B90" s="124" t="s">
        <v>148</v>
      </c>
      <c r="C90" s="54">
        <f t="shared" si="4"/>
        <v>0</v>
      </c>
      <c r="D90" s="131"/>
      <c r="E90" s="126"/>
      <c r="F90" s="54"/>
      <c r="G90" s="54"/>
      <c r="H90" s="54"/>
    </row>
    <row r="91" spans="1:8" ht="15.75" customHeight="1">
      <c r="A91" s="123">
        <v>7350</v>
      </c>
      <c r="B91" s="124" t="s">
        <v>149</v>
      </c>
      <c r="C91" s="54">
        <f t="shared" si="4"/>
        <v>0</v>
      </c>
      <c r="D91" s="131"/>
      <c r="E91" s="126"/>
      <c r="F91" s="54"/>
      <c r="G91" s="54"/>
      <c r="H91" s="54"/>
    </row>
    <row r="92" spans="1:8" ht="15.75" customHeight="1">
      <c r="A92" s="123">
        <v>7400</v>
      </c>
      <c r="B92" s="124" t="s">
        <v>150</v>
      </c>
      <c r="C92" s="54">
        <f t="shared" si="4"/>
        <v>0</v>
      </c>
      <c r="D92" s="131"/>
      <c r="E92" s="126"/>
      <c r="F92" s="54"/>
      <c r="G92" s="54"/>
      <c r="H92" s="54"/>
    </row>
    <row r="93" spans="1:8" ht="15.75" customHeight="1">
      <c r="A93" s="123">
        <v>7410</v>
      </c>
      <c r="B93" s="124" t="s">
        <v>103</v>
      </c>
      <c r="C93" s="54">
        <f t="shared" si="4"/>
        <v>0</v>
      </c>
      <c r="D93" s="131"/>
      <c r="E93" s="126"/>
      <c r="F93" s="54"/>
      <c r="G93" s="54"/>
      <c r="H93" s="54"/>
    </row>
    <row r="94" spans="1:8" ht="15.75" customHeight="1">
      <c r="A94" s="123">
        <v>7420</v>
      </c>
      <c r="B94" s="124" t="s">
        <v>151</v>
      </c>
      <c r="C94" s="54">
        <f t="shared" si="4"/>
        <v>0</v>
      </c>
      <c r="D94" s="131"/>
      <c r="E94" s="126"/>
      <c r="F94" s="54"/>
      <c r="G94" s="54"/>
      <c r="H94" s="54"/>
    </row>
    <row r="95" spans="1:8" ht="15.75" customHeight="1">
      <c r="A95" s="123">
        <v>7430</v>
      </c>
      <c r="B95" s="124" t="s">
        <v>152</v>
      </c>
      <c r="C95" s="54">
        <f t="shared" si="4"/>
        <v>0</v>
      </c>
      <c r="D95" s="131"/>
      <c r="E95" s="126"/>
      <c r="F95" s="54"/>
      <c r="G95" s="54"/>
      <c r="H95" s="54"/>
    </row>
    <row r="96" spans="1:8" ht="15.75" customHeight="1">
      <c r="A96" s="123">
        <v>7500</v>
      </c>
      <c r="B96" s="124" t="s">
        <v>153</v>
      </c>
      <c r="C96" s="54">
        <f t="shared" si="4"/>
        <v>48000</v>
      </c>
      <c r="D96" s="131">
        <v>48000</v>
      </c>
      <c r="E96" s="126"/>
      <c r="F96" s="54">
        <f>G96+H96</f>
        <v>75000</v>
      </c>
      <c r="G96" s="129">
        <v>65000</v>
      </c>
      <c r="H96" s="129">
        <v>10000</v>
      </c>
    </row>
    <row r="97" spans="1:8" ht="15.75" customHeight="1">
      <c r="A97" s="123">
        <v>7510</v>
      </c>
      <c r="B97" s="124" t="s">
        <v>154</v>
      </c>
      <c r="C97" s="54">
        <f t="shared" si="4"/>
        <v>0</v>
      </c>
      <c r="D97" s="131"/>
      <c r="E97" s="126"/>
      <c r="F97" s="54"/>
      <c r="G97" s="54"/>
      <c r="H97" s="54"/>
    </row>
    <row r="98" spans="1:8" ht="15.75" customHeight="1">
      <c r="A98" s="123">
        <v>7700</v>
      </c>
      <c r="B98" s="124" t="s">
        <v>155</v>
      </c>
      <c r="C98" s="54">
        <f t="shared" si="4"/>
        <v>5000</v>
      </c>
      <c r="D98" s="131">
        <v>5000</v>
      </c>
      <c r="E98" s="126"/>
      <c r="F98" s="54">
        <f>G98+H98</f>
        <v>5000</v>
      </c>
      <c r="G98" s="129">
        <v>5000</v>
      </c>
      <c r="H98" s="54"/>
    </row>
    <row r="99" spans="1:8" ht="15.75" customHeight="1">
      <c r="A99" s="123">
        <v>7740</v>
      </c>
      <c r="B99" s="124" t="s">
        <v>156</v>
      </c>
      <c r="C99" s="54">
        <f t="shared" si="4"/>
        <v>0</v>
      </c>
      <c r="D99" s="131"/>
      <c r="E99" s="126"/>
      <c r="F99" s="54"/>
      <c r="G99" s="54"/>
      <c r="H99" s="54"/>
    </row>
    <row r="100" spans="1:8" ht="15.75" customHeight="1">
      <c r="A100" s="123">
        <v>7750</v>
      </c>
      <c r="B100" s="124" t="s">
        <v>157</v>
      </c>
      <c r="C100" s="54">
        <f t="shared" si="4"/>
        <v>0</v>
      </c>
      <c r="D100" s="131"/>
      <c r="E100" s="126"/>
      <c r="F100" s="54"/>
      <c r="G100" s="54"/>
      <c r="H100" s="54"/>
    </row>
    <row r="101" spans="1:8" ht="15.75" customHeight="1">
      <c r="A101" s="123">
        <v>7770</v>
      </c>
      <c r="B101" s="124" t="s">
        <v>158</v>
      </c>
      <c r="C101" s="54">
        <f t="shared" si="4"/>
        <v>0</v>
      </c>
      <c r="D101" s="131"/>
      <c r="E101" s="126"/>
      <c r="F101" s="54"/>
      <c r="G101" s="54"/>
      <c r="H101" s="54"/>
    </row>
    <row r="102" spans="1:8" ht="15.75" customHeight="1">
      <c r="A102" s="123">
        <v>7790</v>
      </c>
      <c r="B102" s="124" t="s">
        <v>159</v>
      </c>
      <c r="C102" s="54">
        <f t="shared" si="4"/>
        <v>0</v>
      </c>
      <c r="D102" s="131"/>
      <c r="E102" s="126"/>
      <c r="F102" s="54">
        <f>+H102</f>
        <v>39250</v>
      </c>
      <c r="G102" s="54"/>
      <c r="H102" s="129">
        <f>250+15000+15000+H9*0.05</f>
        <v>39250</v>
      </c>
    </row>
    <row r="103" spans="1:8" ht="15.75" customHeight="1">
      <c r="A103" s="123">
        <v>7791</v>
      </c>
      <c r="B103" s="124" t="s">
        <v>160</v>
      </c>
      <c r="C103" s="54">
        <f t="shared" si="4"/>
        <v>0</v>
      </c>
      <c r="D103" s="131"/>
      <c r="E103" s="126"/>
      <c r="F103" s="54"/>
      <c r="G103" s="54"/>
      <c r="H103" s="54"/>
    </row>
    <row r="104" spans="1:8" ht="15.75" customHeight="1">
      <c r="A104" s="123">
        <v>7830</v>
      </c>
      <c r="B104" s="124" t="s">
        <v>162</v>
      </c>
      <c r="C104" s="54">
        <f t="shared" si="4"/>
        <v>0</v>
      </c>
      <c r="D104" s="131"/>
      <c r="E104" s="126"/>
      <c r="F104" s="54"/>
      <c r="G104" s="54"/>
      <c r="H104" s="54"/>
    </row>
    <row r="105" spans="1:8" ht="15.75" customHeight="1">
      <c r="A105" s="123">
        <v>7831</v>
      </c>
      <c r="B105" s="124" t="s">
        <v>163</v>
      </c>
      <c r="C105" s="54">
        <f t="shared" si="4"/>
        <v>0</v>
      </c>
      <c r="D105" s="131"/>
      <c r="E105" s="126"/>
      <c r="F105" s="54"/>
      <c r="G105" s="54"/>
      <c r="H105" s="54"/>
    </row>
    <row r="106" spans="1:8" ht="15.75" customHeight="1">
      <c r="A106" s="141" t="s">
        <v>164</v>
      </c>
      <c r="B106" s="141"/>
      <c r="C106" s="82">
        <f t="shared" si="4"/>
        <v>475000</v>
      </c>
      <c r="D106" s="132">
        <f>SUM(D43:D105)</f>
        <v>415000</v>
      </c>
      <c r="E106" s="142">
        <v>60000</v>
      </c>
      <c r="F106" s="66"/>
      <c r="G106" s="134">
        <f>SUM(G41:G105)</f>
        <v>522500</v>
      </c>
      <c r="H106" s="134">
        <f>SUM(H43:H102)</f>
        <v>169250</v>
      </c>
    </row>
    <row r="107" spans="1:8" ht="15.75" customHeight="1">
      <c r="A107" s="135"/>
      <c r="B107" s="124"/>
      <c r="C107" s="54">
        <f t="shared" si="4"/>
        <v>0</v>
      </c>
      <c r="D107" s="137"/>
      <c r="E107" s="126"/>
      <c r="F107" s="66"/>
      <c r="G107" s="134"/>
      <c r="H107" s="112"/>
    </row>
    <row r="108" spans="1:8" ht="15.75" customHeight="1">
      <c r="A108" s="143" t="s">
        <v>165</v>
      </c>
      <c r="B108" s="141"/>
      <c r="C108" s="82">
        <f t="shared" si="4"/>
        <v>475000</v>
      </c>
      <c r="D108" s="144">
        <f>D106+D40</f>
        <v>415000</v>
      </c>
      <c r="E108" s="142">
        <v>60000</v>
      </c>
      <c r="F108" s="66"/>
      <c r="G108" s="134">
        <f t="shared" ref="G108:H108" si="6">G106+G40</f>
        <v>522500</v>
      </c>
      <c r="H108" s="134">
        <f t="shared" si="6"/>
        <v>169250</v>
      </c>
    </row>
    <row r="109" spans="1:8" ht="15.75" customHeight="1">
      <c r="A109" s="135"/>
      <c r="B109" s="124"/>
      <c r="C109" s="54">
        <f t="shared" si="4"/>
        <v>0</v>
      </c>
      <c r="D109" s="137"/>
      <c r="E109" s="126"/>
      <c r="F109" s="66"/>
      <c r="G109" s="134"/>
      <c r="H109" s="112"/>
    </row>
    <row r="110" spans="1:8" ht="15.75" customHeight="1">
      <c r="A110" s="140" t="s">
        <v>166</v>
      </c>
      <c r="B110" s="141"/>
      <c r="C110" s="82">
        <f>SUM(D110:E110)</f>
        <v>180000</v>
      </c>
      <c r="D110" s="144">
        <f>D20-D108</f>
        <v>0</v>
      </c>
      <c r="E110" s="144">
        <f>E20-E108</f>
        <v>180000</v>
      </c>
      <c r="F110" s="66"/>
      <c r="G110" s="134">
        <f t="shared" ref="G110:H110" si="7">G20-G108</f>
        <v>-15500</v>
      </c>
      <c r="H110" s="134">
        <f t="shared" si="7"/>
        <v>10750</v>
      </c>
    </row>
    <row r="111" spans="1:8" ht="15.75" customHeight="1">
      <c r="D111" s="31"/>
    </row>
    <row r="112" spans="1: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2:B42"/>
    <mergeCell ref="A1:B1"/>
    <mergeCell ref="A2:B2"/>
    <mergeCell ref="A20:B20"/>
    <mergeCell ref="A22:B22"/>
    <mergeCell ref="A40:B40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Budsjett OSI 2019</vt:lpstr>
      <vt:lpstr>Budsjett grupper</vt:lpstr>
      <vt:lpstr>Budsjett HS 2019</vt:lpstr>
      <vt:lpstr>Budsjett hytter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nordstrom.madeleine@gmail.com</cp:lastModifiedBy>
  <dcterms:created xsi:type="dcterms:W3CDTF">2019-02-28T08:42:41Z</dcterms:created>
  <dcterms:modified xsi:type="dcterms:W3CDTF">2019-02-28T09:19:21Z</dcterms:modified>
</cp:coreProperties>
</file>