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jaard1.sharepoint.com/sites/Njrd/Delte dokumenter/Administrasjon/Personal/Budsjett/2023/Alpin/"/>
    </mc:Choice>
  </mc:AlternateContent>
  <xr:revisionPtr revIDLastSave="118" documentId="8_{E517C499-18F7-486E-AB35-E2E7010DC1B4}" xr6:coauthVersionLast="47" xr6:coauthVersionMax="47" xr10:uidLastSave="{E680D2F6-410E-4A07-8EB7-3C555BC4F700}"/>
  <bookViews>
    <workbookView xWindow="-120" yWindow="-120" windowWidth="38640" windowHeight="21240" xr2:uid="{00000000-000D-0000-FFFF-FFFF00000000}"/>
  </bookViews>
  <sheets>
    <sheet name="Avdelinger" sheetId="1" r:id="rId1"/>
    <sheet name="Ark1" sheetId="2" r:id="rId2"/>
  </sheets>
  <definedNames>
    <definedName name="OSR_GearWriter_0" localSheetId="0">Avdelinger!$B$9:$C$9</definedName>
    <definedName name="OSR_GearWriter_1" localSheetId="0">Avdelinger!$D$9:$H$9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2" i="1" l="1"/>
  <c r="M90" i="1"/>
  <c r="M86" i="1"/>
  <c r="M52" i="1"/>
  <c r="M37" i="1"/>
  <c r="M29" i="1"/>
  <c r="D8" i="1"/>
  <c r="E15" i="1"/>
  <c r="E16" i="1"/>
  <c r="E17" i="1"/>
  <c r="E19" i="1"/>
  <c r="E20" i="1"/>
  <c r="G103" i="1" l="1" a="1"/>
  <c r="G103" i="1" s="1"/>
  <c r="E103" i="1" a="1"/>
  <c r="E103" i="1" s="1"/>
  <c r="D103" i="1" a="1"/>
  <c r="D103" i="1" s="1"/>
  <c r="AA102" i="1" a="1"/>
  <c r="AA102" i="1" s="1"/>
  <c r="Z102" i="1" a="1"/>
  <c r="Z102" i="1" s="1"/>
  <c r="K102" i="1" a="1"/>
  <c r="K102" i="1" s="1"/>
  <c r="G102" i="1" a="1"/>
  <c r="G102" i="1" s="1"/>
  <c r="D102" i="1" a="1"/>
  <c r="D102" i="1" s="1"/>
  <c r="Y101" i="1" a="1"/>
  <c r="Y101" i="1" s="1"/>
  <c r="X101" i="1" a="1"/>
  <c r="X101" i="1" s="1"/>
  <c r="V101" i="1" a="1"/>
  <c r="V101" i="1" s="1"/>
  <c r="U101" i="1" a="1"/>
  <c r="U101" i="1" s="1"/>
  <c r="T101" i="1" a="1"/>
  <c r="T101" i="1" s="1"/>
  <c r="R98" i="1"/>
  <c r="Q98" i="1"/>
  <c r="K98" i="1"/>
  <c r="J98" i="1"/>
  <c r="G98" i="1"/>
  <c r="F98" i="1"/>
  <c r="E98" i="1"/>
  <c r="D98" i="1"/>
  <c r="R96" i="1"/>
  <c r="Q96" i="1"/>
  <c r="K96" i="1"/>
  <c r="G96" i="1"/>
  <c r="E96" i="1"/>
  <c r="D96" i="1"/>
  <c r="H96" i="1" s="1"/>
  <c r="J95" i="1"/>
  <c r="J96" i="1" s="1"/>
  <c r="H95" i="1"/>
  <c r="F95" i="1"/>
  <c r="R94" i="1"/>
  <c r="Q94" i="1"/>
  <c r="K94" i="1"/>
  <c r="J94" i="1"/>
  <c r="H94" i="1"/>
  <c r="G94" i="1"/>
  <c r="E94" i="1"/>
  <c r="D94" i="1"/>
  <c r="R86" i="1"/>
  <c r="R88" i="1" s="1"/>
  <c r="Q86" i="1"/>
  <c r="K86" i="1"/>
  <c r="G86" i="1"/>
  <c r="E86" i="1"/>
  <c r="F86" i="1" s="1"/>
  <c r="D86" i="1"/>
  <c r="J85" i="1"/>
  <c r="H85" i="1"/>
  <c r="F85" i="1"/>
  <c r="J84" i="1"/>
  <c r="H84" i="1"/>
  <c r="F84" i="1"/>
  <c r="J83" i="1"/>
  <c r="H83" i="1"/>
  <c r="F83" i="1"/>
  <c r="J82" i="1"/>
  <c r="H82" i="1"/>
  <c r="F82" i="1"/>
  <c r="J81" i="1"/>
  <c r="H81" i="1"/>
  <c r="F81" i="1"/>
  <c r="J80" i="1"/>
  <c r="H80" i="1"/>
  <c r="F80" i="1"/>
  <c r="J79" i="1"/>
  <c r="H79" i="1"/>
  <c r="F79" i="1"/>
  <c r="J78" i="1"/>
  <c r="H78" i="1"/>
  <c r="F78" i="1"/>
  <c r="J77" i="1"/>
  <c r="H77" i="1"/>
  <c r="F77" i="1"/>
  <c r="J76" i="1"/>
  <c r="H76" i="1"/>
  <c r="F76" i="1"/>
  <c r="J75" i="1"/>
  <c r="H75" i="1"/>
  <c r="F75" i="1"/>
  <c r="J74" i="1"/>
  <c r="H74" i="1"/>
  <c r="F74" i="1"/>
  <c r="J73" i="1"/>
  <c r="H73" i="1"/>
  <c r="F73" i="1"/>
  <c r="J72" i="1"/>
  <c r="H72" i="1"/>
  <c r="F72" i="1"/>
  <c r="J71" i="1"/>
  <c r="H71" i="1"/>
  <c r="F71" i="1"/>
  <c r="J70" i="1"/>
  <c r="H70" i="1"/>
  <c r="F70" i="1"/>
  <c r="J69" i="1"/>
  <c r="H69" i="1"/>
  <c r="F69" i="1"/>
  <c r="J68" i="1"/>
  <c r="H68" i="1"/>
  <c r="F68" i="1"/>
  <c r="J67" i="1"/>
  <c r="H67" i="1"/>
  <c r="F67" i="1"/>
  <c r="J66" i="1"/>
  <c r="H66" i="1"/>
  <c r="F66" i="1"/>
  <c r="J65" i="1"/>
  <c r="H65" i="1"/>
  <c r="F65" i="1"/>
  <c r="J64" i="1"/>
  <c r="H64" i="1"/>
  <c r="F64" i="1"/>
  <c r="J63" i="1"/>
  <c r="H63" i="1"/>
  <c r="F63" i="1"/>
  <c r="J62" i="1"/>
  <c r="H62" i="1"/>
  <c r="F62" i="1"/>
  <c r="J61" i="1"/>
  <c r="H61" i="1"/>
  <c r="F61" i="1"/>
  <c r="J60" i="1"/>
  <c r="H60" i="1"/>
  <c r="F60" i="1"/>
  <c r="J59" i="1"/>
  <c r="H59" i="1"/>
  <c r="F59" i="1"/>
  <c r="J58" i="1"/>
  <c r="H58" i="1"/>
  <c r="F58" i="1"/>
  <c r="J57" i="1"/>
  <c r="H57" i="1"/>
  <c r="F57" i="1"/>
  <c r="J56" i="1"/>
  <c r="H56" i="1"/>
  <c r="F56" i="1"/>
  <c r="J55" i="1"/>
  <c r="J86" i="1" s="1"/>
  <c r="H55" i="1"/>
  <c r="F55" i="1"/>
  <c r="J54" i="1"/>
  <c r="H54" i="1"/>
  <c r="F54" i="1"/>
  <c r="R53" i="1"/>
  <c r="Q53" i="1"/>
  <c r="K53" i="1"/>
  <c r="J53" i="1"/>
  <c r="G53" i="1"/>
  <c r="E53" i="1"/>
  <c r="D53" i="1"/>
  <c r="H53" i="1" s="1"/>
  <c r="R52" i="1"/>
  <c r="Q52" i="1"/>
  <c r="K52" i="1"/>
  <c r="G52" i="1"/>
  <c r="G88" i="1" s="1"/>
  <c r="E52" i="1"/>
  <c r="D52" i="1"/>
  <c r="J51" i="1"/>
  <c r="H51" i="1"/>
  <c r="F51" i="1"/>
  <c r="J50" i="1"/>
  <c r="H50" i="1"/>
  <c r="F50" i="1"/>
  <c r="J49" i="1"/>
  <c r="H49" i="1"/>
  <c r="F49" i="1"/>
  <c r="J48" i="1"/>
  <c r="H48" i="1"/>
  <c r="F48" i="1"/>
  <c r="J47" i="1"/>
  <c r="H47" i="1"/>
  <c r="F47" i="1"/>
  <c r="J46" i="1"/>
  <c r="H46" i="1"/>
  <c r="F46" i="1"/>
  <c r="J45" i="1"/>
  <c r="H45" i="1"/>
  <c r="F45" i="1"/>
  <c r="J44" i="1"/>
  <c r="H44" i="1"/>
  <c r="F44" i="1"/>
  <c r="J43" i="1"/>
  <c r="H43" i="1"/>
  <c r="F43" i="1"/>
  <c r="J42" i="1"/>
  <c r="H42" i="1"/>
  <c r="F42" i="1"/>
  <c r="J41" i="1"/>
  <c r="H41" i="1"/>
  <c r="F41" i="1"/>
  <c r="J40" i="1"/>
  <c r="H40" i="1"/>
  <c r="F40" i="1"/>
  <c r="J39" i="1"/>
  <c r="H39" i="1"/>
  <c r="F39" i="1"/>
  <c r="R36" i="1"/>
  <c r="Q36" i="1"/>
  <c r="K36" i="1"/>
  <c r="G36" i="1"/>
  <c r="E36" i="1"/>
  <c r="D36" i="1"/>
  <c r="F36" i="1" s="1"/>
  <c r="J35" i="1"/>
  <c r="H35" i="1"/>
  <c r="F35" i="1"/>
  <c r="J34" i="1"/>
  <c r="H34" i="1"/>
  <c r="F34" i="1"/>
  <c r="J33" i="1"/>
  <c r="H33" i="1"/>
  <c r="F33" i="1"/>
  <c r="J32" i="1"/>
  <c r="H32" i="1"/>
  <c r="F32" i="1"/>
  <c r="J31" i="1"/>
  <c r="H31" i="1"/>
  <c r="F31" i="1"/>
  <c r="J30" i="1"/>
  <c r="H30" i="1"/>
  <c r="F30" i="1"/>
  <c r="R28" i="1"/>
  <c r="Q28" i="1"/>
  <c r="J28" i="1" s="1"/>
  <c r="K28" i="1"/>
  <c r="G28" i="1"/>
  <c r="E28" i="1"/>
  <c r="D28" i="1"/>
  <c r="R27" i="1"/>
  <c r="Q27" i="1"/>
  <c r="K27" i="1"/>
  <c r="G27" i="1"/>
  <c r="E27" i="1"/>
  <c r="D27" i="1"/>
  <c r="R26" i="1"/>
  <c r="Q26" i="1"/>
  <c r="K26" i="1"/>
  <c r="G26" i="1"/>
  <c r="E26" i="1"/>
  <c r="D26" i="1"/>
  <c r="R25" i="1"/>
  <c r="Q25" i="1"/>
  <c r="K25" i="1"/>
  <c r="G25" i="1"/>
  <c r="H25" i="1" s="1"/>
  <c r="E25" i="1"/>
  <c r="F25" i="1" s="1"/>
  <c r="D25" i="1"/>
  <c r="R24" i="1"/>
  <c r="Q24" i="1"/>
  <c r="K24" i="1"/>
  <c r="G24" i="1"/>
  <c r="E24" i="1"/>
  <c r="D24" i="1"/>
  <c r="H24" i="1" s="1"/>
  <c r="R23" i="1"/>
  <c r="J23" i="1" s="1"/>
  <c r="Q23" i="1"/>
  <c r="K23" i="1"/>
  <c r="G23" i="1"/>
  <c r="E23" i="1"/>
  <c r="D23" i="1"/>
  <c r="R22" i="1"/>
  <c r="Q22" i="1"/>
  <c r="K22" i="1"/>
  <c r="G22" i="1"/>
  <c r="E22" i="1"/>
  <c r="D22" i="1"/>
  <c r="F22" i="1" s="1"/>
  <c r="R21" i="1"/>
  <c r="J21" i="1" s="1"/>
  <c r="Q21" i="1"/>
  <c r="K21" i="1"/>
  <c r="G21" i="1"/>
  <c r="E21" i="1"/>
  <c r="D21" i="1"/>
  <c r="R20" i="1"/>
  <c r="Q20" i="1"/>
  <c r="J20" i="1" s="1"/>
  <c r="K20" i="1"/>
  <c r="G20" i="1"/>
  <c r="D20" i="1"/>
  <c r="F20" i="1" s="1"/>
  <c r="R19" i="1"/>
  <c r="Q19" i="1"/>
  <c r="K19" i="1"/>
  <c r="G19" i="1"/>
  <c r="D19" i="1"/>
  <c r="R18" i="1"/>
  <c r="Q18" i="1"/>
  <c r="K18" i="1"/>
  <c r="G18" i="1"/>
  <c r="E18" i="1"/>
  <c r="D18" i="1"/>
  <c r="R17" i="1"/>
  <c r="Q17" i="1"/>
  <c r="J17" i="1" s="1"/>
  <c r="K17" i="1"/>
  <c r="G17" i="1"/>
  <c r="D17" i="1"/>
  <c r="H17" i="1" s="1"/>
  <c r="R16" i="1"/>
  <c r="Q16" i="1"/>
  <c r="K16" i="1"/>
  <c r="J16" i="1"/>
  <c r="G16" i="1"/>
  <c r="D16" i="1"/>
  <c r="H16" i="1" s="1"/>
  <c r="R15" i="1"/>
  <c r="Q15" i="1"/>
  <c r="K15" i="1"/>
  <c r="G15" i="1"/>
  <c r="D15" i="1"/>
  <c r="F15" i="1" s="1"/>
  <c r="R14" i="1"/>
  <c r="Q14" i="1"/>
  <c r="K14" i="1"/>
  <c r="G14" i="1"/>
  <c r="H14" i="1" s="1"/>
  <c r="E14" i="1"/>
  <c r="D14" i="1"/>
  <c r="F14" i="1" s="1"/>
  <c r="R13" i="1"/>
  <c r="Q13" i="1"/>
  <c r="K13" i="1"/>
  <c r="G13" i="1"/>
  <c r="E13" i="1"/>
  <c r="D13" i="1"/>
  <c r="R12" i="1"/>
  <c r="Q12" i="1"/>
  <c r="J12" i="1" s="1"/>
  <c r="K12" i="1"/>
  <c r="G12" i="1"/>
  <c r="E12" i="1"/>
  <c r="D12" i="1"/>
  <c r="H86" i="1" l="1"/>
  <c r="J36" i="1"/>
  <c r="J52" i="1"/>
  <c r="J88" i="1" s="1"/>
  <c r="J90" i="1" s="1"/>
  <c r="J13" i="1"/>
  <c r="G29" i="1"/>
  <c r="G37" i="1" s="1"/>
  <c r="G109" i="1" s="1"/>
  <c r="G110" i="1" s="1"/>
  <c r="H18" i="1"/>
  <c r="F23" i="1"/>
  <c r="H12" i="1"/>
  <c r="E29" i="1"/>
  <c r="E37" i="1" s="1"/>
  <c r="E109" i="1" s="1"/>
  <c r="E110" i="1" s="1"/>
  <c r="J19" i="1"/>
  <c r="J25" i="1"/>
  <c r="H27" i="1"/>
  <c r="J27" i="1"/>
  <c r="H28" i="1"/>
  <c r="W101" i="1"/>
  <c r="G101" i="1" s="1"/>
  <c r="G104" i="1" s="1"/>
  <c r="F94" i="1"/>
  <c r="F96" i="1"/>
  <c r="H98" i="1"/>
  <c r="R29" i="1"/>
  <c r="R37" i="1" s="1"/>
  <c r="R109" i="1" s="1"/>
  <c r="F17" i="1"/>
  <c r="J18" i="1"/>
  <c r="H22" i="1"/>
  <c r="F53" i="1"/>
  <c r="H13" i="1"/>
  <c r="J14" i="1"/>
  <c r="F16" i="1"/>
  <c r="H19" i="1"/>
  <c r="H20" i="1"/>
  <c r="H21" i="1"/>
  <c r="F24" i="1"/>
  <c r="J24" i="1"/>
  <c r="H26" i="1"/>
  <c r="F27" i="1"/>
  <c r="E88" i="1"/>
  <c r="E90" i="1" s="1"/>
  <c r="Q88" i="1"/>
  <c r="Q90" i="1" s="1"/>
  <c r="R90" i="1"/>
  <c r="D101" i="1"/>
  <c r="D104" i="1" s="1"/>
  <c r="H15" i="1"/>
  <c r="K88" i="1"/>
  <c r="K90" i="1" s="1"/>
  <c r="D29" i="1"/>
  <c r="H29" i="1" s="1"/>
  <c r="K29" i="1"/>
  <c r="K37" i="1" s="1"/>
  <c r="J15" i="1"/>
  <c r="F19" i="1"/>
  <c r="J22" i="1"/>
  <c r="H23" i="1"/>
  <c r="J26" i="1"/>
  <c r="F28" i="1"/>
  <c r="F52" i="1"/>
  <c r="H36" i="1"/>
  <c r="G90" i="1"/>
  <c r="K109" i="1"/>
  <c r="K110" i="1" s="1"/>
  <c r="D37" i="1"/>
  <c r="F18" i="1"/>
  <c r="F26" i="1"/>
  <c r="Q29" i="1"/>
  <c r="Q37" i="1" s="1"/>
  <c r="D88" i="1"/>
  <c r="D90" i="1" s="1"/>
  <c r="H52" i="1"/>
  <c r="F12" i="1"/>
  <c r="F13" i="1"/>
  <c r="F21" i="1"/>
  <c r="G92" i="1" l="1"/>
  <c r="G97" i="1" s="1"/>
  <c r="J29" i="1"/>
  <c r="J37" i="1" s="1"/>
  <c r="F88" i="1"/>
  <c r="F90" i="1" s="1"/>
  <c r="F29" i="1"/>
  <c r="K92" i="1"/>
  <c r="K97" i="1" s="1"/>
  <c r="E92" i="1"/>
  <c r="E97" i="1" s="1"/>
  <c r="R92" i="1"/>
  <c r="R97" i="1" s="1"/>
  <c r="R111" i="1" s="1"/>
  <c r="K111" i="1"/>
  <c r="K103" i="1"/>
  <c r="K101" i="1" s="1"/>
  <c r="K104" i="1" s="1"/>
  <c r="K99" i="1"/>
  <c r="F37" i="1"/>
  <c r="F92" i="1" s="1"/>
  <c r="D109" i="1"/>
  <c r="D110" i="1" s="1"/>
  <c r="D92" i="1"/>
  <c r="H37" i="1"/>
  <c r="E99" i="1"/>
  <c r="E111" i="1"/>
  <c r="H90" i="1"/>
  <c r="Q109" i="1"/>
  <c r="Q92" i="1"/>
  <c r="Q97" i="1" s="1"/>
  <c r="H88" i="1"/>
  <c r="G99" i="1"/>
  <c r="G111" i="1"/>
  <c r="J92" i="1"/>
  <c r="J97" i="1" s="1"/>
  <c r="J109" i="1"/>
  <c r="J110" i="1" s="1"/>
  <c r="R99" i="1" l="1"/>
  <c r="J99" i="1"/>
  <c r="J111" i="1"/>
  <c r="Q111" i="1"/>
  <c r="Q99" i="1"/>
  <c r="H92" i="1"/>
  <c r="D97" i="1"/>
  <c r="H97" i="1" l="1"/>
  <c r="D99" i="1"/>
  <c r="F97" i="1"/>
  <c r="D111" i="1"/>
  <c r="H99" i="1" l="1"/>
  <c r="F99" i="1"/>
</calcChain>
</file>

<file path=xl/sharedStrings.xml><?xml version="1.0" encoding="utf-8"?>
<sst xmlns="http://schemas.openxmlformats.org/spreadsheetml/2006/main" count="120" uniqueCount="115">
  <si>
    <t>Personalkostnader</t>
  </si>
  <si>
    <t>Lån internt</t>
  </si>
  <si>
    <t>Njård</t>
  </si>
  <si>
    <t>Timelønn ansatte</t>
  </si>
  <si>
    <t>Obligatorisk tjenestepensjon (OTP)</t>
  </si>
  <si>
    <t>mar</t>
  </si>
  <si>
    <t>(fra periode)</t>
  </si>
  <si>
    <t>Annen offentlig støtte</t>
  </si>
  <si>
    <t>Eventer</t>
  </si>
  <si>
    <t>Innkjøp til egne arrangement</t>
  </si>
  <si>
    <t>Timelønn ansatte - uten AGA</t>
  </si>
  <si>
    <t>Data drift og vedlikehold</t>
  </si>
  <si>
    <t>Trykksaker</t>
  </si>
  <si>
    <t>Resultatgrad</t>
  </si>
  <si>
    <t>Driftsinntekter</t>
  </si>
  <si>
    <t>Sum andre driftskostnader</t>
  </si>
  <si>
    <t>Aktivitetsmidler</t>
  </si>
  <si>
    <t>Diverse inntekter</t>
  </si>
  <si>
    <t>Arbeidsgiveravgift av påløpte feriepenger</t>
  </si>
  <si>
    <t>Reisekostnad, ikke opplysningspliktig</t>
  </si>
  <si>
    <t>IKKE BRUK 2023 Gebyrer Spond (bruk konto 4410)</t>
  </si>
  <si>
    <t>Rentekostnad banklån (næring)</t>
  </si>
  <si>
    <t>Resultat før skatt</t>
  </si>
  <si>
    <t>jul</t>
  </si>
  <si>
    <t>okt</t>
  </si>
  <si>
    <t>Gaver</t>
  </si>
  <si>
    <t>Opplæring instruktører og funksjonærer</t>
  </si>
  <si>
    <t>Møter, kurs, oppdatering o.l</t>
  </si>
  <si>
    <t>i fjor</t>
  </si>
  <si>
    <t>Prognose</t>
  </si>
  <si>
    <t>nov</t>
  </si>
  <si>
    <t>Lokalleietilsk. kommune</t>
  </si>
  <si>
    <t>Privat instruksjon</t>
  </si>
  <si>
    <t>Fri telefon</t>
  </si>
  <si>
    <t>Inventar</t>
  </si>
  <si>
    <t>Finanskostnader</t>
  </si>
  <si>
    <t>Salgsintekter avgiftspliktig</t>
  </si>
  <si>
    <t>Transaksjonskostnader medlemsinntekter</t>
  </si>
  <si>
    <t>Gebyr Nets</t>
  </si>
  <si>
    <t>Finansinntekter</t>
  </si>
  <si>
    <t>Andre kostnader ved arrangement</t>
  </si>
  <si>
    <t>Annen driftskostnad</t>
  </si>
  <si>
    <t>Avvik</t>
  </si>
  <si>
    <t>EBITDA</t>
  </si>
  <si>
    <t>apr</t>
  </si>
  <si>
    <t>aug</t>
  </si>
  <si>
    <t>Leie transportmidler</t>
  </si>
  <si>
    <t>Kontorrekvisita</t>
  </si>
  <si>
    <t>Mobiltelefon</t>
  </si>
  <si>
    <t>Forsikringspremie</t>
  </si>
  <si>
    <t>Andre driftskostnader</t>
  </si>
  <si>
    <t>jan</t>
  </si>
  <si>
    <t>feb</t>
  </si>
  <si>
    <t>Stevneinntekter deltakeravgifter</t>
  </si>
  <si>
    <t>Innberettet otp</t>
  </si>
  <si>
    <t>Arbeidsgiveravgift</t>
  </si>
  <si>
    <t>Innkjøp av idrettsutstyr</t>
  </si>
  <si>
    <t>Bank- og kortgebyrer</t>
  </si>
  <si>
    <t>Øreavrunding</t>
  </si>
  <si>
    <t>Gebyr Vipps</t>
  </si>
  <si>
    <t>Sum driftskostnader</t>
  </si>
  <si>
    <t>Budsjett</t>
  </si>
  <si>
    <t>Bruttofortjeneste</t>
  </si>
  <si>
    <t>Hovedstøtte (administrasjons- og driftsbidrag)</t>
  </si>
  <si>
    <t>Selvstendig Næringsdrivende Instruktører</t>
  </si>
  <si>
    <t>Datautstyr</t>
  </si>
  <si>
    <t>Annen kostnad fradragsberettiget</t>
  </si>
  <si>
    <t>EBITDA %</t>
  </si>
  <si>
    <t>sep</t>
  </si>
  <si>
    <t>Sponsor/samarbeidsavtaler, avgiftspliktig</t>
  </si>
  <si>
    <t>Dugnadsinntekter</t>
  </si>
  <si>
    <t>Leie eksterne lokaler</t>
  </si>
  <si>
    <t>Annen kostnad, ikke fradragsberettiget</t>
  </si>
  <si>
    <t>Faktisk</t>
  </si>
  <si>
    <t>Varekostnader</t>
  </si>
  <si>
    <t>Årsresultat</t>
  </si>
  <si>
    <t>Sponsor/reklameinntekter, videreført avdelinger</t>
  </si>
  <si>
    <t>Spillemiddelstilskudd</t>
  </si>
  <si>
    <t>Treningsavgift, senior</t>
  </si>
  <si>
    <t>Egenandeler</t>
  </si>
  <si>
    <t>Telefon</t>
  </si>
  <si>
    <t>Drivstoff transportmiddel 1</t>
  </si>
  <si>
    <t>Reklameannonser</t>
  </si>
  <si>
    <t>mai</t>
  </si>
  <si>
    <t>jun</t>
  </si>
  <si>
    <t>Sum skattekostnad på ord. Resultat</t>
  </si>
  <si>
    <t>Lønn til ansatte</t>
  </si>
  <si>
    <t>Feriepenger</t>
  </si>
  <si>
    <t>Motkonto fordeler gruppe 52</t>
  </si>
  <si>
    <t>Refusjon av sykepenger</t>
  </si>
  <si>
    <t>Reisekostnad, opplysningspliktig</t>
  </si>
  <si>
    <t>Kostnader styremøte- årsmøte</t>
  </si>
  <si>
    <t>NØKKELTALL</t>
  </si>
  <si>
    <t>Driftsresultat</t>
  </si>
  <si>
    <t>des</t>
  </si>
  <si>
    <t>Udisponert resultat</t>
  </si>
  <si>
    <t>Innkjøp idrettsmatriell/utstyr</t>
  </si>
  <si>
    <t>Kostnader ved egne dugnader</t>
  </si>
  <si>
    <t>Gave, fradragsberettiget</t>
  </si>
  <si>
    <t>Avskrivninger</t>
  </si>
  <si>
    <t>Leie lokaler</t>
  </si>
  <si>
    <t>Innkjøp verktøy og utstyr</t>
  </si>
  <si>
    <t>Data/EDB kostnad</t>
  </si>
  <si>
    <t>Gave, ikke fradragsberettiget</t>
  </si>
  <si>
    <t>Avdelingens egenkapital</t>
  </si>
  <si>
    <t>Avdelingens egenkapital ved periodens slutt</t>
  </si>
  <si>
    <t>Treningsavgift, junior</t>
  </si>
  <si>
    <t>Startkontigent</t>
  </si>
  <si>
    <t>Leie inventar</t>
  </si>
  <si>
    <t>Vedlikehold transportmiddel 1</t>
  </si>
  <si>
    <t>Regnskap og budsjett 2022 og budsjett 2023</t>
  </si>
  <si>
    <t>Regnskap 2022</t>
  </si>
  <si>
    <t>Regnskap 2021</t>
  </si>
  <si>
    <t>Budsjettt 2022</t>
  </si>
  <si>
    <t>Budsjett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</si>
</sst>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\ %"/>
    <numFmt numFmtId="165" formatCode="#,##0_ ;[Red]\-#,##0\ "/>
    <numFmt numFmtId="166" formatCode="[$-414]mmmm\ yy;@"/>
  </numFmts>
  <fonts count="20" x14ac:knownFonts="1">
    <font>
      <sz val="11"/>
      <color theme="1"/>
      <name val="Calibri"/>
      <family val="2"/>
      <scheme val="minor"/>
    </font>
    <font>
      <sz val="11"/>
      <name val="Open Sans"/>
      <family val="2"/>
    </font>
    <font>
      <sz val="12"/>
      <name val="Open Sans"/>
      <family val="2"/>
    </font>
    <font>
      <b/>
      <sz val="14"/>
      <name val="Open Sans"/>
      <family val="2"/>
    </font>
    <font>
      <sz val="11"/>
      <color rgb="FF6A6C6D"/>
      <name val="Open Sans"/>
      <family val="2"/>
    </font>
    <font>
      <sz val="11"/>
      <color rgb="FF37485A"/>
      <name val="Open Sans"/>
      <family val="2"/>
    </font>
    <font>
      <sz val="11"/>
      <color theme="1"/>
      <name val="Open Sans"/>
      <family val="2"/>
    </font>
    <font>
      <sz val="14"/>
      <color rgb="FF007ACA"/>
      <name val="Open Sans"/>
      <family val="2"/>
    </font>
    <font>
      <b/>
      <sz val="11"/>
      <name val="Open Sans"/>
      <family val="2"/>
    </font>
    <font>
      <sz val="12"/>
      <color rgb="FF37485A"/>
      <name val="Open Sans"/>
      <family val="2"/>
    </font>
    <font>
      <sz val="12"/>
      <color theme="1"/>
      <name val="Open Sans"/>
      <family val="2"/>
    </font>
    <font>
      <sz val="14"/>
      <color theme="0"/>
      <name val="Roboto"/>
    </font>
    <font>
      <b/>
      <sz val="26"/>
      <name val="Open Sans"/>
      <family val="2"/>
    </font>
    <font>
      <sz val="18"/>
      <color rgb="FF007ACA"/>
      <name val="Calibri"/>
      <family val="2"/>
    </font>
    <font>
      <b/>
      <sz val="12"/>
      <name val="Open Sans"/>
      <family val="2"/>
    </font>
    <font>
      <sz val="12"/>
      <color rgb="FF6A6C6D"/>
      <name val="Open Sans"/>
      <family val="2"/>
    </font>
    <font>
      <sz val="12"/>
      <color rgb="FF000000"/>
      <name val="Open Sans"/>
      <family val="2"/>
    </font>
    <font>
      <sz val="12"/>
      <color theme="0"/>
      <name val="Open Sans"/>
      <family val="2"/>
    </font>
    <font>
      <sz val="16"/>
      <name val="Open Sans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B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theme="0" tint="-0.499954222235786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59">
    <xf numFmtId="0" fontId="0" fillId="0" borderId="0" xfId="0"/>
    <xf numFmtId="165" fontId="1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2" fillId="2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165" fontId="4" fillId="2" borderId="0" xfId="0" applyNumberFormat="1" applyFont="1" applyFill="1" applyAlignment="1">
      <alignment horizontal="right" vertical="center"/>
    </xf>
    <xf numFmtId="165" fontId="3" fillId="3" borderId="1" xfId="0" applyNumberFormat="1" applyFont="1" applyFill="1" applyBorder="1" applyAlignment="1">
      <alignment horizontal="right" vertical="center"/>
    </xf>
    <xf numFmtId="165" fontId="2" fillId="3" borderId="0" xfId="0" applyNumberFormat="1" applyFont="1" applyFill="1" applyAlignment="1">
      <alignment horizontal="right" vertical="center"/>
    </xf>
    <xf numFmtId="165" fontId="5" fillId="0" borderId="0" xfId="0" applyNumberFormat="1" applyFont="1"/>
    <xf numFmtId="0" fontId="6" fillId="3" borderId="0" xfId="0" applyFont="1" applyFill="1"/>
    <xf numFmtId="165" fontId="4" fillId="3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center"/>
    </xf>
    <xf numFmtId="164" fontId="1" fillId="3" borderId="0" xfId="1" applyNumberFormat="1" applyFont="1" applyFill="1" applyBorder="1"/>
    <xf numFmtId="3" fontId="1" fillId="3" borderId="0" xfId="1" applyNumberFormat="1" applyFont="1" applyFill="1" applyBorder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165" fontId="2" fillId="2" borderId="0" xfId="0" applyNumberFormat="1" applyFont="1" applyFill="1" applyAlignment="1">
      <alignment horizontal="left"/>
    </xf>
    <xf numFmtId="0" fontId="6" fillId="0" borderId="0" xfId="0" applyFont="1"/>
    <xf numFmtId="0" fontId="8" fillId="2" borderId="1" xfId="0" applyFont="1" applyFill="1" applyBorder="1" applyAlignment="1">
      <alignment vertical="center"/>
    </xf>
    <xf numFmtId="165" fontId="2" fillId="2" borderId="0" xfId="0" applyNumberFormat="1" applyFont="1" applyFill="1"/>
    <xf numFmtId="0" fontId="4" fillId="2" borderId="0" xfId="0" applyFont="1" applyFill="1" applyAlignment="1">
      <alignment vertical="center"/>
    </xf>
    <xf numFmtId="1" fontId="4" fillId="2" borderId="0" xfId="0" applyNumberFormat="1" applyFont="1" applyFill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9" fillId="0" borderId="0" xfId="0" applyNumberFormat="1" applyFont="1"/>
    <xf numFmtId="0" fontId="10" fillId="0" borderId="0" xfId="0" applyFont="1"/>
    <xf numFmtId="0" fontId="5" fillId="0" borderId="0" xfId="0" applyFont="1"/>
    <xf numFmtId="0" fontId="11" fillId="0" borderId="0" xfId="0" applyFont="1"/>
    <xf numFmtId="165" fontId="3" fillId="3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left"/>
    </xf>
    <xf numFmtId="165" fontId="3" fillId="2" borderId="0" xfId="0" applyNumberFormat="1" applyFont="1" applyFill="1" applyAlignment="1">
      <alignment horizontal="right" vertical="center"/>
    </xf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right"/>
    </xf>
    <xf numFmtId="166" fontId="10" fillId="0" borderId="0" xfId="0" applyNumberFormat="1" applyFont="1" applyAlignment="1">
      <alignment horizontal="left"/>
    </xf>
    <xf numFmtId="0" fontId="14" fillId="0" borderId="0" xfId="0" applyFont="1"/>
    <xf numFmtId="165" fontId="1" fillId="3" borderId="0" xfId="0" applyNumberFormat="1" applyFont="1" applyFill="1"/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indent="1"/>
    </xf>
    <xf numFmtId="0" fontId="1" fillId="3" borderId="0" xfId="0" applyFont="1" applyFill="1"/>
    <xf numFmtId="0" fontId="8" fillId="2" borderId="0" xfId="0" applyFont="1" applyFill="1" applyAlignment="1">
      <alignment vertical="center"/>
    </xf>
    <xf numFmtId="0" fontId="15" fillId="0" borderId="0" xfId="0" applyFont="1"/>
    <xf numFmtId="0" fontId="16" fillId="0" borderId="0" xfId="0" applyFont="1"/>
    <xf numFmtId="164" fontId="1" fillId="0" borderId="0" xfId="1" applyNumberFormat="1" applyFont="1" applyFill="1" applyBorder="1"/>
    <xf numFmtId="3" fontId="1" fillId="0" borderId="0" xfId="1" applyNumberFormat="1" applyFont="1" applyFill="1" applyBorder="1"/>
    <xf numFmtId="0" fontId="4" fillId="0" borderId="0" xfId="0" applyFont="1"/>
    <xf numFmtId="0" fontId="17" fillId="0" borderId="0" xfId="0" applyFont="1"/>
    <xf numFmtId="164" fontId="18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vertical="center"/>
    </xf>
    <xf numFmtId="165" fontId="8" fillId="0" borderId="0" xfId="0" applyNumberFormat="1" applyFont="1"/>
    <xf numFmtId="165" fontId="14" fillId="0" borderId="0" xfId="0" applyNumberFormat="1" applyFont="1"/>
    <xf numFmtId="165" fontId="3" fillId="0" borderId="0" xfId="0" applyNumberFormat="1" applyFont="1"/>
    <xf numFmtId="165" fontId="3" fillId="0" borderId="2" xfId="0" applyNumberFormat="1" applyFont="1" applyBorder="1"/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rosent" xfId="1" builtinId="5"/>
  </cellStyles>
  <dxfs count="2">
    <dxf>
      <font>
        <color rgb="FFE70641"/>
      </font>
    </dxf>
    <dxf>
      <font>
        <color rgb="FFE9445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B134"/>
  <sheetViews>
    <sheetView showGridLines="0" tabSelected="1" zoomScale="75" workbookViewId="0">
      <pane ySplit="10" topLeftCell="A11" activePane="bottomLeft" state="frozen"/>
      <selection pane="bottomLeft" activeCell="M12" sqref="M12:M19"/>
    </sheetView>
  </sheetViews>
  <sheetFormatPr baseColWidth="10" defaultColWidth="9.140625" defaultRowHeight="15" outlineLevelRow="1" outlineLevelCol="1" x14ac:dyDescent="0.25"/>
  <cols>
    <col min="1" max="1" width="6" customWidth="1"/>
    <col min="2" max="2" width="16.28515625" customWidth="1"/>
    <col min="3" max="3" width="51.140625" customWidth="1"/>
    <col min="4" max="4" width="27" customWidth="1"/>
    <col min="5" max="5" width="20.140625" customWidth="1"/>
    <col min="6" max="6" width="19.5703125" customWidth="1" outlineLevel="1"/>
    <col min="7" max="7" width="20.42578125" customWidth="1"/>
    <col min="8" max="8" width="17.7109375" customWidth="1" outlineLevel="1"/>
    <col min="9" max="9" width="10" hidden="1" customWidth="1"/>
    <col min="10" max="11" width="17.7109375" hidden="1" customWidth="1"/>
    <col min="12" max="12" width="9.140625" hidden="1" customWidth="1"/>
    <col min="13" max="13" width="19.5703125" customWidth="1"/>
    <col min="17" max="18" width="17.7109375" hidden="1" customWidth="1"/>
    <col min="19" max="19" width="9.140625" customWidth="1"/>
    <col min="20" max="28" width="9.140625" hidden="1" customWidth="1"/>
  </cols>
  <sheetData>
    <row r="1" spans="1:18" s="21" customFormat="1" ht="15" customHeight="1" x14ac:dyDescent="0.2"/>
    <row r="2" spans="1:18" s="49" customFormat="1" ht="21.6" customHeight="1" x14ac:dyDescent="0.35">
      <c r="B2" s="45" t="s">
        <v>2</v>
      </c>
      <c r="Q2" s="40"/>
      <c r="R2" s="36"/>
    </row>
    <row r="3" spans="1:18" s="8" customFormat="1" ht="36" customHeight="1" x14ac:dyDescent="0.5">
      <c r="B3" s="35" t="s">
        <v>110</v>
      </c>
      <c r="Q3" s="51"/>
    </row>
    <row r="4" spans="1:18" s="34" customFormat="1" ht="17.100000000000001" customHeight="1" x14ac:dyDescent="0.35">
      <c r="A4" s="29"/>
      <c r="B4" s="38"/>
      <c r="C4" s="32"/>
      <c r="D4" s="28"/>
      <c r="E4" s="28"/>
      <c r="Q4" s="28"/>
      <c r="R4" s="28"/>
    </row>
    <row r="5" spans="1:18" s="34" customFormat="1" ht="17.100000000000001" customHeight="1" x14ac:dyDescent="0.35">
      <c r="A5" s="29"/>
      <c r="B5" s="38"/>
      <c r="C5" s="32"/>
      <c r="D5" s="28"/>
      <c r="E5" s="28"/>
      <c r="Q5" s="28"/>
      <c r="R5" s="28"/>
    </row>
    <row r="6" spans="1:18" s="34" customFormat="1" ht="17.100000000000001" customHeight="1" x14ac:dyDescent="0.35">
      <c r="A6" s="29"/>
      <c r="B6" s="38"/>
      <c r="C6" s="37"/>
      <c r="D6" s="28"/>
      <c r="E6" s="28"/>
      <c r="Q6" s="28"/>
      <c r="R6" s="28"/>
    </row>
    <row r="7" spans="1:18" s="34" customFormat="1" ht="17.100000000000001" customHeight="1" x14ac:dyDescent="0.35">
      <c r="A7" s="29"/>
      <c r="B7" s="38"/>
      <c r="C7" s="37"/>
      <c r="D7" s="28"/>
      <c r="E7" s="28"/>
      <c r="Q7" s="28"/>
      <c r="R7" s="28"/>
    </row>
    <row r="8" spans="1:18" s="34" customFormat="1" ht="17.100000000000001" customHeight="1" x14ac:dyDescent="0.35">
      <c r="B8" s="38"/>
      <c r="C8" s="32"/>
      <c r="D8" s="50" t="str">
        <f>INDEX(C123:C134,MATCH(MONTH(C7),B123:B134,0),1)</f>
        <v>jan</v>
      </c>
      <c r="E8" s="28"/>
      <c r="Q8" s="28"/>
      <c r="R8" s="28"/>
    </row>
    <row r="9" spans="1:18" ht="26.1" customHeight="1" x14ac:dyDescent="0.4">
      <c r="B9" s="57"/>
      <c r="C9" s="57"/>
      <c r="D9" s="58"/>
      <c r="E9" s="58"/>
      <c r="F9" s="58"/>
      <c r="G9" s="58"/>
      <c r="H9" s="58"/>
      <c r="I9" s="15"/>
      <c r="J9" s="15" t="s">
        <v>29</v>
      </c>
      <c r="K9" s="15" t="s">
        <v>73</v>
      </c>
    </row>
    <row r="10" spans="1:18" ht="26.1" customHeight="1" x14ac:dyDescent="0.4">
      <c r="B10" s="30"/>
      <c r="C10" s="30"/>
      <c r="D10" s="15" t="s">
        <v>111</v>
      </c>
      <c r="E10" s="15" t="s">
        <v>113</v>
      </c>
      <c r="F10" s="15" t="s">
        <v>42</v>
      </c>
      <c r="G10" s="15" t="s">
        <v>112</v>
      </c>
      <c r="H10" s="15" t="s">
        <v>42</v>
      </c>
      <c r="I10" s="15"/>
      <c r="J10" s="15">
        <v>2023</v>
      </c>
      <c r="K10" s="15" t="s">
        <v>28</v>
      </c>
      <c r="M10" s="15" t="s">
        <v>114</v>
      </c>
      <c r="Q10" s="15" t="s">
        <v>73</v>
      </c>
      <c r="R10" s="15" t="s">
        <v>61</v>
      </c>
    </row>
    <row r="11" spans="1:18" ht="12.75" customHeight="1" x14ac:dyDescent="0.25">
      <c r="B11" s="30"/>
      <c r="C11" s="30"/>
      <c r="D11" s="15"/>
      <c r="E11" s="15"/>
      <c r="F11" s="15"/>
      <c r="G11" s="15"/>
      <c r="H11" s="15"/>
      <c r="I11" s="15"/>
      <c r="J11" s="15"/>
      <c r="K11" s="15"/>
      <c r="Q11" s="15"/>
      <c r="R11" s="15"/>
    </row>
    <row r="12" spans="1:18" s="8" customFormat="1" ht="18" customHeight="1" outlineLevel="1" x14ac:dyDescent="0.3">
      <c r="B12" s="25">
        <v>3000</v>
      </c>
      <c r="C12" s="24" t="s">
        <v>36</v>
      </c>
      <c r="D12" s="9">
        <f t="shared" ref="D12:D13" si="0">0*-1</f>
        <v>0</v>
      </c>
      <c r="E12" s="6">
        <f>-10000*-1</f>
        <v>10000</v>
      </c>
      <c r="F12" s="14">
        <f t="shared" ref="F12:F28" si="1">D12-E12</f>
        <v>-10000</v>
      </c>
      <c r="G12" s="6">
        <f t="shared" ref="G12:G14" si="2">0*-1</f>
        <v>0</v>
      </c>
      <c r="H12" s="14">
        <f t="shared" ref="H12:H28" si="3">IFERROR(D12-G12,0)</f>
        <v>0</v>
      </c>
      <c r="I12" s="6"/>
      <c r="J12" s="9">
        <f t="shared" ref="J12:J28" si="4">Q12+R12</f>
        <v>0</v>
      </c>
      <c r="K12" s="6">
        <f t="shared" ref="K12:K13" si="5">0*-1</f>
        <v>0</v>
      </c>
      <c r="L12" s="1"/>
      <c r="M12" s="1">
        <v>10000</v>
      </c>
      <c r="N12" s="1"/>
      <c r="O12" s="1"/>
      <c r="P12" s="1"/>
      <c r="Q12" s="9">
        <f t="shared" ref="Q12:R20" si="6">0*-1</f>
        <v>0</v>
      </c>
      <c r="R12" s="6">
        <f t="shared" si="6"/>
        <v>0</v>
      </c>
    </row>
    <row r="13" spans="1:18" s="8" customFormat="1" ht="18" customHeight="1" outlineLevel="1" x14ac:dyDescent="0.3">
      <c r="B13" s="25">
        <v>3020</v>
      </c>
      <c r="C13" s="24" t="s">
        <v>69</v>
      </c>
      <c r="D13" s="9">
        <f t="shared" si="0"/>
        <v>0</v>
      </c>
      <c r="E13" s="6">
        <f>-40000*-1</f>
        <v>40000</v>
      </c>
      <c r="F13" s="14">
        <f t="shared" si="1"/>
        <v>-40000</v>
      </c>
      <c r="G13" s="6">
        <f t="shared" si="2"/>
        <v>0</v>
      </c>
      <c r="H13" s="14">
        <f t="shared" si="3"/>
        <v>0</v>
      </c>
      <c r="I13" s="6"/>
      <c r="J13" s="9">
        <f t="shared" si="4"/>
        <v>0</v>
      </c>
      <c r="K13" s="6">
        <f t="shared" si="5"/>
        <v>0</v>
      </c>
      <c r="L13" s="1"/>
      <c r="M13" s="1"/>
      <c r="N13" s="1"/>
      <c r="O13" s="1"/>
      <c r="P13" s="1"/>
      <c r="Q13" s="9">
        <f t="shared" si="6"/>
        <v>0</v>
      </c>
      <c r="R13" s="6">
        <f t="shared" si="6"/>
        <v>0</v>
      </c>
    </row>
    <row r="14" spans="1:18" s="8" customFormat="1" ht="18" customHeight="1" outlineLevel="1" x14ac:dyDescent="0.3">
      <c r="B14" s="25">
        <v>3025</v>
      </c>
      <c r="C14" s="24" t="s">
        <v>76</v>
      </c>
      <c r="D14" s="9">
        <f>-80000*-1</f>
        <v>80000</v>
      </c>
      <c r="E14" s="6">
        <f>0*-1</f>
        <v>0</v>
      </c>
      <c r="F14" s="14">
        <f t="shared" si="1"/>
        <v>80000</v>
      </c>
      <c r="G14" s="6">
        <f t="shared" si="2"/>
        <v>0</v>
      </c>
      <c r="H14" s="14">
        <f t="shared" si="3"/>
        <v>80000</v>
      </c>
      <c r="I14" s="6"/>
      <c r="J14" s="9">
        <f t="shared" si="4"/>
        <v>0</v>
      </c>
      <c r="K14" s="6">
        <f>-80000*-1</f>
        <v>80000</v>
      </c>
      <c r="L14" s="1"/>
      <c r="M14" s="1">
        <v>40000</v>
      </c>
      <c r="N14" s="1"/>
      <c r="O14" s="1"/>
      <c r="P14" s="1"/>
      <c r="Q14" s="9">
        <f t="shared" si="6"/>
        <v>0</v>
      </c>
      <c r="R14" s="6">
        <f t="shared" si="6"/>
        <v>0</v>
      </c>
    </row>
    <row r="15" spans="1:18" s="8" customFormat="1" ht="18" customHeight="1" outlineLevel="1" x14ac:dyDescent="0.3">
      <c r="B15" s="25">
        <v>3400</v>
      </c>
      <c r="C15" s="24" t="s">
        <v>63</v>
      </c>
      <c r="D15" s="9">
        <f>-28671*-1</f>
        <v>28671</v>
      </c>
      <c r="E15" s="6">
        <f>-30000*-1</f>
        <v>30000</v>
      </c>
      <c r="F15" s="14">
        <f t="shared" si="1"/>
        <v>-1329</v>
      </c>
      <c r="G15" s="6">
        <f>-28784*-1</f>
        <v>28784</v>
      </c>
      <c r="H15" s="14">
        <f t="shared" si="3"/>
        <v>-113</v>
      </c>
      <c r="I15" s="6"/>
      <c r="J15" s="9">
        <f t="shared" si="4"/>
        <v>0</v>
      </c>
      <c r="K15" s="6">
        <f>-28671*-1</f>
        <v>28671</v>
      </c>
      <c r="L15" s="1"/>
      <c r="M15" s="1">
        <v>25000</v>
      </c>
      <c r="N15" s="1"/>
      <c r="O15" s="1"/>
      <c r="P15" s="1"/>
      <c r="Q15" s="9">
        <f t="shared" si="6"/>
        <v>0</v>
      </c>
      <c r="R15" s="6">
        <f t="shared" si="6"/>
        <v>0</v>
      </c>
    </row>
    <row r="16" spans="1:18" s="8" customFormat="1" ht="18" customHeight="1" outlineLevel="1" x14ac:dyDescent="0.3">
      <c r="B16" s="25">
        <v>3401</v>
      </c>
      <c r="C16" s="24" t="s">
        <v>16</v>
      </c>
      <c r="D16" s="9">
        <f>-53248*-1</f>
        <v>53248</v>
      </c>
      <c r="E16" s="6">
        <f>-70000*-1</f>
        <v>70000</v>
      </c>
      <c r="F16" s="14">
        <f t="shared" si="1"/>
        <v>-16752</v>
      </c>
      <c r="G16" s="6">
        <f>-75607*-1</f>
        <v>75607</v>
      </c>
      <c r="H16" s="14">
        <f t="shared" si="3"/>
        <v>-22359</v>
      </c>
      <c r="I16" s="6"/>
      <c r="J16" s="9">
        <f t="shared" si="4"/>
        <v>0</v>
      </c>
      <c r="K16" s="6">
        <f>-53248*-1</f>
        <v>53248</v>
      </c>
      <c r="L16" s="1"/>
      <c r="M16" s="1">
        <v>50000</v>
      </c>
      <c r="N16" s="1"/>
      <c r="O16" s="1"/>
      <c r="P16" s="1"/>
      <c r="Q16" s="9">
        <f t="shared" si="6"/>
        <v>0</v>
      </c>
      <c r="R16" s="6">
        <f t="shared" si="6"/>
        <v>0</v>
      </c>
    </row>
    <row r="17" spans="2:18" s="8" customFormat="1" ht="18" customHeight="1" outlineLevel="1" x14ac:dyDescent="0.3">
      <c r="B17" s="25">
        <v>3440</v>
      </c>
      <c r="C17" s="24" t="s">
        <v>31</v>
      </c>
      <c r="D17" s="9">
        <f>-18551*-1</f>
        <v>18551</v>
      </c>
      <c r="E17" s="6">
        <f>-7000*-1</f>
        <v>7000</v>
      </c>
      <c r="F17" s="14">
        <f t="shared" si="1"/>
        <v>11551</v>
      </c>
      <c r="G17" s="6">
        <f>-6183*-1</f>
        <v>6183</v>
      </c>
      <c r="H17" s="14">
        <f t="shared" si="3"/>
        <v>12368</v>
      </c>
      <c r="I17" s="6"/>
      <c r="J17" s="9">
        <f t="shared" si="4"/>
        <v>0</v>
      </c>
      <c r="K17" s="6">
        <f>-18551*-1</f>
        <v>18551</v>
      </c>
      <c r="L17" s="1"/>
      <c r="M17" s="1">
        <v>10000</v>
      </c>
      <c r="N17" s="1"/>
      <c r="O17" s="1"/>
      <c r="P17" s="1"/>
      <c r="Q17" s="9">
        <f t="shared" si="6"/>
        <v>0</v>
      </c>
      <c r="R17" s="6">
        <f t="shared" si="6"/>
        <v>0</v>
      </c>
    </row>
    <row r="18" spans="2:18" s="8" customFormat="1" ht="18" customHeight="1" outlineLevel="1" x14ac:dyDescent="0.3">
      <c r="B18" s="25">
        <v>3450</v>
      </c>
      <c r="C18" s="24" t="s">
        <v>77</v>
      </c>
      <c r="D18" s="9">
        <f>0*-1</f>
        <v>0</v>
      </c>
      <c r="E18" s="6">
        <f>-5000*-1</f>
        <v>5000</v>
      </c>
      <c r="F18" s="14">
        <f t="shared" si="1"/>
        <v>-5000</v>
      </c>
      <c r="G18" s="6">
        <f>-9471*-1</f>
        <v>9471</v>
      </c>
      <c r="H18" s="14">
        <f t="shared" si="3"/>
        <v>-9471</v>
      </c>
      <c r="I18" s="6"/>
      <c r="J18" s="9">
        <f t="shared" si="4"/>
        <v>0</v>
      </c>
      <c r="K18" s="6">
        <f>0*-1</f>
        <v>0</v>
      </c>
      <c r="L18" s="1"/>
      <c r="M18" s="1">
        <v>5000</v>
      </c>
      <c r="N18" s="1"/>
      <c r="O18" s="1"/>
      <c r="P18" s="1"/>
      <c r="Q18" s="9">
        <f t="shared" si="6"/>
        <v>0</v>
      </c>
      <c r="R18" s="6">
        <f t="shared" si="6"/>
        <v>0</v>
      </c>
    </row>
    <row r="19" spans="2:18" s="8" customFormat="1" ht="18" customHeight="1" outlineLevel="1" x14ac:dyDescent="0.3">
      <c r="B19" s="25">
        <v>3460</v>
      </c>
      <c r="C19" s="24" t="s">
        <v>7</v>
      </c>
      <c r="D19" s="9">
        <f>-174553*-1</f>
        <v>174553</v>
      </c>
      <c r="E19" s="6">
        <f>-140000*-1</f>
        <v>140000</v>
      </c>
      <c r="F19" s="14">
        <f t="shared" si="1"/>
        <v>34553</v>
      </c>
      <c r="G19" s="6">
        <f>-136671*-1</f>
        <v>136671</v>
      </c>
      <c r="H19" s="14">
        <f t="shared" si="3"/>
        <v>37882</v>
      </c>
      <c r="I19" s="6"/>
      <c r="J19" s="9">
        <f t="shared" si="4"/>
        <v>0</v>
      </c>
      <c r="K19" s="6">
        <f>-174553*-1</f>
        <v>174553</v>
      </c>
      <c r="L19" s="1"/>
      <c r="M19" s="1">
        <v>130000</v>
      </c>
      <c r="N19" s="1"/>
      <c r="O19" s="1"/>
      <c r="P19" s="1"/>
      <c r="Q19" s="9">
        <f t="shared" si="6"/>
        <v>0</v>
      </c>
      <c r="R19" s="6">
        <f t="shared" si="6"/>
        <v>0</v>
      </c>
    </row>
    <row r="20" spans="2:18" s="8" customFormat="1" ht="18" customHeight="1" outlineLevel="1" x14ac:dyDescent="0.3">
      <c r="B20" s="25">
        <v>3911</v>
      </c>
      <c r="C20" s="24" t="s">
        <v>8</v>
      </c>
      <c r="D20" s="9">
        <f>0*-1</f>
        <v>0</v>
      </c>
      <c r="E20" s="6">
        <f>-10000*-1</f>
        <v>10000</v>
      </c>
      <c r="F20" s="14">
        <f t="shared" si="1"/>
        <v>-10000</v>
      </c>
      <c r="G20" s="6">
        <f>0*-1</f>
        <v>0</v>
      </c>
      <c r="H20" s="14">
        <f t="shared" si="3"/>
        <v>0</v>
      </c>
      <c r="I20" s="6"/>
      <c r="J20" s="9">
        <f t="shared" si="4"/>
        <v>0</v>
      </c>
      <c r="K20" s="6">
        <f>0*-1</f>
        <v>0</v>
      </c>
      <c r="L20" s="1"/>
      <c r="M20" s="1">
        <v>15000</v>
      </c>
      <c r="N20" s="1"/>
      <c r="O20" s="1"/>
      <c r="P20" s="1"/>
      <c r="Q20" s="9">
        <f t="shared" si="6"/>
        <v>0</v>
      </c>
      <c r="R20" s="6">
        <f t="shared" si="6"/>
        <v>0</v>
      </c>
    </row>
    <row r="21" spans="2:18" s="8" customFormat="1" ht="18" customHeight="1" outlineLevel="1" x14ac:dyDescent="0.3">
      <c r="B21" s="25">
        <v>3920</v>
      </c>
      <c r="C21" s="24" t="s">
        <v>106</v>
      </c>
      <c r="D21" s="9">
        <f>-693300*-1</f>
        <v>693300</v>
      </c>
      <c r="E21" s="6">
        <f>-725000*-1</f>
        <v>725000</v>
      </c>
      <c r="F21" s="14">
        <f t="shared" si="1"/>
        <v>-31700</v>
      </c>
      <c r="G21" s="6">
        <f>-794900*-1</f>
        <v>794900</v>
      </c>
      <c r="H21" s="14">
        <f t="shared" si="3"/>
        <v>-101600</v>
      </c>
      <c r="I21" s="6"/>
      <c r="J21" s="9">
        <f t="shared" si="4"/>
        <v>441497</v>
      </c>
      <c r="K21" s="6">
        <f>-693300*-1</f>
        <v>693300</v>
      </c>
      <c r="L21" s="1"/>
      <c r="M21" s="1">
        <v>650000</v>
      </c>
      <c r="N21" s="1"/>
      <c r="O21" s="1"/>
      <c r="P21" s="1"/>
      <c r="Q21" s="9">
        <f>-441497*-1</f>
        <v>441497</v>
      </c>
      <c r="R21" s="6">
        <f t="shared" ref="R21:R28" si="7">0*-1</f>
        <v>0</v>
      </c>
    </row>
    <row r="22" spans="2:18" s="8" customFormat="1" ht="18" customHeight="1" outlineLevel="1" x14ac:dyDescent="0.3">
      <c r="B22" s="25">
        <v>3921</v>
      </c>
      <c r="C22" s="24" t="s">
        <v>78</v>
      </c>
      <c r="D22" s="9">
        <f>-5800*-1</f>
        <v>5800</v>
      </c>
      <c r="E22" s="6">
        <f t="shared" ref="E22:E23" si="8">0*-1</f>
        <v>0</v>
      </c>
      <c r="F22" s="14">
        <f t="shared" si="1"/>
        <v>5800</v>
      </c>
      <c r="G22" s="6">
        <f>-5800*-1</f>
        <v>5800</v>
      </c>
      <c r="H22" s="14">
        <f t="shared" si="3"/>
        <v>0</v>
      </c>
      <c r="I22" s="6"/>
      <c r="J22" s="9">
        <f t="shared" si="4"/>
        <v>14500</v>
      </c>
      <c r="K22" s="6">
        <f>-5800*-1</f>
        <v>5800</v>
      </c>
      <c r="L22" s="1"/>
      <c r="M22" s="1">
        <v>10000</v>
      </c>
      <c r="N22" s="1"/>
      <c r="O22" s="1"/>
      <c r="P22" s="1"/>
      <c r="Q22" s="9">
        <f>-14500*-1</f>
        <v>14500</v>
      </c>
      <c r="R22" s="6">
        <f t="shared" si="7"/>
        <v>0</v>
      </c>
    </row>
    <row r="23" spans="2:18" s="8" customFormat="1" ht="18" customHeight="1" outlineLevel="1" x14ac:dyDescent="0.3">
      <c r="B23" s="25">
        <v>3928</v>
      </c>
      <c r="C23" s="24" t="s">
        <v>32</v>
      </c>
      <c r="D23" s="9">
        <f>0*-1</f>
        <v>0</v>
      </c>
      <c r="E23" s="6">
        <f t="shared" si="8"/>
        <v>0</v>
      </c>
      <c r="F23" s="14">
        <f t="shared" si="1"/>
        <v>0</v>
      </c>
      <c r="G23" s="6">
        <f>0*-1</f>
        <v>0</v>
      </c>
      <c r="H23" s="14">
        <f t="shared" si="3"/>
        <v>0</v>
      </c>
      <c r="I23" s="6"/>
      <c r="J23" s="9">
        <f t="shared" si="4"/>
        <v>0</v>
      </c>
      <c r="K23" s="6">
        <f>0*-1</f>
        <v>0</v>
      </c>
      <c r="L23" s="1"/>
      <c r="M23" s="1"/>
      <c r="N23" s="1"/>
      <c r="O23" s="1"/>
      <c r="P23" s="1"/>
      <c r="Q23" s="9">
        <f>0*-1</f>
        <v>0</v>
      </c>
      <c r="R23" s="6">
        <f t="shared" si="7"/>
        <v>0</v>
      </c>
    </row>
    <row r="24" spans="2:18" s="8" customFormat="1" ht="18" customHeight="1" outlineLevel="1" x14ac:dyDescent="0.3">
      <c r="B24" s="25">
        <v>3930</v>
      </c>
      <c r="C24" s="24" t="s">
        <v>53</v>
      </c>
      <c r="D24" s="9">
        <f>-66816.92*-1</f>
        <v>66816.92</v>
      </c>
      <c r="E24" s="6">
        <f>-35000*-1</f>
        <v>35000</v>
      </c>
      <c r="F24" s="14">
        <f t="shared" si="1"/>
        <v>31816.92</v>
      </c>
      <c r="G24" s="6">
        <f>-2550*-1</f>
        <v>2550</v>
      </c>
      <c r="H24" s="14">
        <f t="shared" si="3"/>
        <v>64266.92</v>
      </c>
      <c r="I24" s="6"/>
      <c r="J24" s="9">
        <f t="shared" si="4"/>
        <v>25050</v>
      </c>
      <c r="K24" s="6">
        <f>-66816.92*-1</f>
        <v>66816.92</v>
      </c>
      <c r="L24" s="1"/>
      <c r="M24" s="1">
        <v>25000</v>
      </c>
      <c r="N24" s="1"/>
      <c r="O24" s="1"/>
      <c r="P24" s="1"/>
      <c r="Q24" s="9">
        <f>-25050*-1</f>
        <v>25050</v>
      </c>
      <c r="R24" s="6">
        <f t="shared" si="7"/>
        <v>0</v>
      </c>
    </row>
    <row r="25" spans="2:18" s="8" customFormat="1" ht="18" customHeight="1" outlineLevel="1" x14ac:dyDescent="0.3">
      <c r="B25" s="25">
        <v>3940</v>
      </c>
      <c r="C25" s="24" t="s">
        <v>79</v>
      </c>
      <c r="D25" s="9">
        <f>-354622*-1</f>
        <v>354622</v>
      </c>
      <c r="E25" s="6">
        <f>-400000*-1</f>
        <v>400000</v>
      </c>
      <c r="F25" s="14">
        <f t="shared" si="1"/>
        <v>-45378</v>
      </c>
      <c r="G25" s="6">
        <f>-433551*-1</f>
        <v>433551</v>
      </c>
      <c r="H25" s="14">
        <f t="shared" si="3"/>
        <v>-78929</v>
      </c>
      <c r="I25" s="6"/>
      <c r="J25" s="9">
        <f t="shared" si="4"/>
        <v>6584</v>
      </c>
      <c r="K25" s="6">
        <f>-354622*-1</f>
        <v>354622</v>
      </c>
      <c r="L25" s="1"/>
      <c r="M25" s="1">
        <v>200000</v>
      </c>
      <c r="N25" s="1"/>
      <c r="O25" s="1"/>
      <c r="P25" s="1"/>
      <c r="Q25" s="9">
        <f>-6584*-1</f>
        <v>6584</v>
      </c>
      <c r="R25" s="6">
        <f t="shared" si="7"/>
        <v>0</v>
      </c>
    </row>
    <row r="26" spans="2:18" s="8" customFormat="1" ht="18" customHeight="1" outlineLevel="1" x14ac:dyDescent="0.3">
      <c r="B26" s="25">
        <v>3970</v>
      </c>
      <c r="C26" s="24" t="s">
        <v>25</v>
      </c>
      <c r="D26" s="9">
        <f>0*-1</f>
        <v>0</v>
      </c>
      <c r="E26" s="6">
        <f>-30000*-1</f>
        <v>30000</v>
      </c>
      <c r="F26" s="14">
        <f t="shared" si="1"/>
        <v>-30000</v>
      </c>
      <c r="G26" s="6">
        <f>-40000*-1</f>
        <v>40000</v>
      </c>
      <c r="H26" s="14">
        <f t="shared" si="3"/>
        <v>-40000</v>
      </c>
      <c r="I26" s="6"/>
      <c r="J26" s="9">
        <f t="shared" si="4"/>
        <v>0</v>
      </c>
      <c r="K26" s="6">
        <f>0*-1</f>
        <v>0</v>
      </c>
      <c r="L26" s="1"/>
      <c r="M26" s="1">
        <v>20000</v>
      </c>
      <c r="N26" s="1"/>
      <c r="O26" s="1"/>
      <c r="P26" s="1"/>
      <c r="Q26" s="9">
        <f t="shared" ref="Q26:Q28" si="9">0*-1</f>
        <v>0</v>
      </c>
      <c r="R26" s="6">
        <f t="shared" si="7"/>
        <v>0</v>
      </c>
    </row>
    <row r="27" spans="2:18" s="8" customFormat="1" ht="18" customHeight="1" outlineLevel="1" x14ac:dyDescent="0.3">
      <c r="B27" s="25">
        <v>3980</v>
      </c>
      <c r="C27" s="24" t="s">
        <v>70</v>
      </c>
      <c r="D27" s="9">
        <f>-196508.71*-1</f>
        <v>196508.71</v>
      </c>
      <c r="E27" s="6">
        <f>-400000*-1</f>
        <v>400000</v>
      </c>
      <c r="F27" s="14">
        <f t="shared" si="1"/>
        <v>-203491.29</v>
      </c>
      <c r="G27" s="6">
        <f>-417684.61*-1</f>
        <v>417684.61</v>
      </c>
      <c r="H27" s="14">
        <f t="shared" si="3"/>
        <v>-221175.9</v>
      </c>
      <c r="I27" s="6"/>
      <c r="J27" s="9">
        <f t="shared" si="4"/>
        <v>0</v>
      </c>
      <c r="K27" s="6">
        <f>-196508.71*-1</f>
        <v>196508.71</v>
      </c>
      <c r="L27" s="1"/>
      <c r="M27" s="1">
        <v>275000</v>
      </c>
      <c r="N27" s="1"/>
      <c r="O27" s="1"/>
      <c r="P27" s="1"/>
      <c r="Q27" s="9">
        <f t="shared" si="9"/>
        <v>0</v>
      </c>
      <c r="R27" s="6">
        <f t="shared" si="7"/>
        <v>0</v>
      </c>
    </row>
    <row r="28" spans="2:18" s="8" customFormat="1" ht="18" customHeight="1" outlineLevel="1" x14ac:dyDescent="0.3">
      <c r="B28" s="25">
        <v>3990</v>
      </c>
      <c r="C28" s="24" t="s">
        <v>17</v>
      </c>
      <c r="D28" s="9">
        <f>-10291.92*-1</f>
        <v>10291.92</v>
      </c>
      <c r="E28" s="6">
        <f>-5000*-1</f>
        <v>5000</v>
      </c>
      <c r="F28" s="14">
        <f t="shared" si="1"/>
        <v>5291.92</v>
      </c>
      <c r="G28" s="6">
        <f>-800*-1</f>
        <v>800</v>
      </c>
      <c r="H28" s="14">
        <f t="shared" si="3"/>
        <v>9491.92</v>
      </c>
      <c r="I28" s="6"/>
      <c r="J28" s="9">
        <f t="shared" si="4"/>
        <v>0</v>
      </c>
      <c r="K28" s="6">
        <f>-10291.92*-1</f>
        <v>10291.92</v>
      </c>
      <c r="L28" s="1"/>
      <c r="M28" s="53"/>
      <c r="N28" s="1"/>
      <c r="O28" s="1"/>
      <c r="P28" s="1"/>
      <c r="Q28" s="9">
        <f t="shared" si="9"/>
        <v>0</v>
      </c>
      <c r="R28" s="6">
        <f t="shared" si="7"/>
        <v>0</v>
      </c>
    </row>
    <row r="29" spans="2:18" s="18" customFormat="1" ht="18" customHeight="1" x14ac:dyDescent="0.35">
      <c r="B29" s="52" t="s">
        <v>14</v>
      </c>
      <c r="C29" s="44"/>
      <c r="D29" s="33">
        <f t="shared" ref="D29:E29" si="10">SUM(D12:D28)</f>
        <v>1682362.5499999998</v>
      </c>
      <c r="E29" s="26">
        <f t="shared" si="10"/>
        <v>1907000</v>
      </c>
      <c r="F29" s="31">
        <f>D29-E29</f>
        <v>-224637.45000000019</v>
      </c>
      <c r="G29" s="26">
        <f>SUM(G12:G28)</f>
        <v>1952001.6099999999</v>
      </c>
      <c r="H29" s="31">
        <f>IFERROR(D29-G29,0)</f>
        <v>-269639.06000000006</v>
      </c>
      <c r="I29" s="26"/>
      <c r="J29" s="33">
        <f t="shared" ref="J29:K29" si="11">SUM(J12:J28)</f>
        <v>487631</v>
      </c>
      <c r="K29" s="26">
        <f t="shared" si="11"/>
        <v>1682362.5499999998</v>
      </c>
      <c r="L29" s="2"/>
      <c r="M29" s="54">
        <f>SUM(M12:M28)</f>
        <v>1465000</v>
      </c>
      <c r="N29" s="2"/>
      <c r="O29" s="2"/>
      <c r="P29" s="2"/>
      <c r="Q29" s="5">
        <f t="shared" ref="Q29:R29" si="12">SUM(Q12:Q28)</f>
        <v>487631</v>
      </c>
      <c r="R29" s="3">
        <f t="shared" si="12"/>
        <v>0</v>
      </c>
    </row>
    <row r="30" spans="2:18" s="8" customFormat="1" ht="18" customHeight="1" outlineLevel="1" x14ac:dyDescent="0.3">
      <c r="B30" s="25">
        <v>4201</v>
      </c>
      <c r="C30" s="24" t="s">
        <v>9</v>
      </c>
      <c r="D30" s="9"/>
      <c r="E30" s="6">
        <v>15000</v>
      </c>
      <c r="F30" s="14">
        <f t="shared" ref="F30:F35" si="13">E30-D30</f>
        <v>15000</v>
      </c>
      <c r="G30" s="6"/>
      <c r="H30" s="14">
        <f t="shared" ref="H30:H35" si="14">IFERROR(G30-D30,0)</f>
        <v>0</v>
      </c>
      <c r="I30" s="6"/>
      <c r="J30" s="9">
        <f t="shared" ref="J30:J35" si="15">Q30+R30</f>
        <v>18958</v>
      </c>
      <c r="K30" s="6"/>
      <c r="L30" s="1"/>
      <c r="M30" s="1">
        <v>15000</v>
      </c>
      <c r="N30" s="1"/>
      <c r="O30" s="1"/>
      <c r="P30" s="1"/>
      <c r="Q30" s="9">
        <v>18958</v>
      </c>
      <c r="R30" s="6"/>
    </row>
    <row r="31" spans="2:18" s="8" customFormat="1" ht="18" customHeight="1" outlineLevel="1" x14ac:dyDescent="0.3">
      <c r="B31" s="25">
        <v>4210</v>
      </c>
      <c r="C31" s="24" t="s">
        <v>96</v>
      </c>
      <c r="D31" s="9">
        <v>119704</v>
      </c>
      <c r="E31" s="6">
        <v>120000</v>
      </c>
      <c r="F31" s="14">
        <f t="shared" si="13"/>
        <v>296</v>
      </c>
      <c r="G31" s="6">
        <v>120628.5</v>
      </c>
      <c r="H31" s="14">
        <f t="shared" si="14"/>
        <v>924.5</v>
      </c>
      <c r="I31" s="6"/>
      <c r="J31" s="9">
        <f t="shared" si="15"/>
        <v>0</v>
      </c>
      <c r="K31" s="6">
        <v>119704</v>
      </c>
      <c r="L31" s="1"/>
      <c r="M31" s="1">
        <v>100000</v>
      </c>
      <c r="N31" s="1"/>
      <c r="O31" s="1"/>
      <c r="P31" s="1"/>
      <c r="Q31" s="9"/>
      <c r="R31" s="6"/>
    </row>
    <row r="32" spans="2:18" s="8" customFormat="1" ht="18" customHeight="1" outlineLevel="1" x14ac:dyDescent="0.3">
      <c r="B32" s="25">
        <v>4400</v>
      </c>
      <c r="C32" s="24" t="s">
        <v>40</v>
      </c>
      <c r="D32" s="9">
        <v>14471</v>
      </c>
      <c r="E32" s="6">
        <v>10000</v>
      </c>
      <c r="F32" s="14">
        <f t="shared" si="13"/>
        <v>-4471</v>
      </c>
      <c r="G32" s="6"/>
      <c r="H32" s="14">
        <f t="shared" si="14"/>
        <v>-14471</v>
      </c>
      <c r="I32" s="6"/>
      <c r="J32" s="9">
        <f t="shared" si="15"/>
        <v>3488</v>
      </c>
      <c r="K32" s="6">
        <v>14471</v>
      </c>
      <c r="L32" s="1"/>
      <c r="M32" s="1">
        <v>5000</v>
      </c>
      <c r="N32" s="1"/>
      <c r="O32" s="1"/>
      <c r="P32" s="1"/>
      <c r="Q32" s="9">
        <v>3488</v>
      </c>
      <c r="R32" s="6"/>
    </row>
    <row r="33" spans="1:18" s="8" customFormat="1" ht="18" customHeight="1" outlineLevel="1" x14ac:dyDescent="0.3">
      <c r="B33" s="25">
        <v>4410</v>
      </c>
      <c r="C33" s="24" t="s">
        <v>37</v>
      </c>
      <c r="D33" s="9">
        <v>9668.48</v>
      </c>
      <c r="E33" s="6">
        <v>10000</v>
      </c>
      <c r="F33" s="14">
        <f t="shared" si="13"/>
        <v>331.52000000000044</v>
      </c>
      <c r="G33" s="6">
        <v>9590.01</v>
      </c>
      <c r="H33" s="14">
        <f t="shared" si="14"/>
        <v>-78.469999999999345</v>
      </c>
      <c r="I33" s="6"/>
      <c r="J33" s="9">
        <f t="shared" si="15"/>
        <v>2989</v>
      </c>
      <c r="K33" s="6">
        <v>9668.48</v>
      </c>
      <c r="L33" s="1"/>
      <c r="M33" s="1">
        <v>15000</v>
      </c>
      <c r="N33" s="1"/>
      <c r="O33" s="1"/>
      <c r="P33" s="1"/>
      <c r="Q33" s="9">
        <v>2989</v>
      </c>
      <c r="R33" s="6"/>
    </row>
    <row r="34" spans="1:18" s="8" customFormat="1" ht="18" customHeight="1" outlineLevel="1" x14ac:dyDescent="0.3">
      <c r="B34" s="25">
        <v>4500</v>
      </c>
      <c r="C34" s="24" t="s">
        <v>107</v>
      </c>
      <c r="D34" s="9">
        <v>15475</v>
      </c>
      <c r="E34" s="6">
        <v>1000</v>
      </c>
      <c r="F34" s="14">
        <f t="shared" si="13"/>
        <v>-14475</v>
      </c>
      <c r="G34" s="6">
        <v>500</v>
      </c>
      <c r="H34" s="14">
        <f t="shared" si="14"/>
        <v>-14975</v>
      </c>
      <c r="I34" s="6"/>
      <c r="J34" s="9">
        <f t="shared" si="15"/>
        <v>0</v>
      </c>
      <c r="K34" s="6">
        <v>15475</v>
      </c>
      <c r="L34" s="1"/>
      <c r="M34" s="1">
        <v>1000</v>
      </c>
      <c r="N34" s="1"/>
      <c r="O34" s="1"/>
      <c r="P34" s="1"/>
      <c r="Q34" s="9"/>
      <c r="R34" s="6"/>
    </row>
    <row r="35" spans="1:18" s="8" customFormat="1" ht="18" customHeight="1" outlineLevel="1" x14ac:dyDescent="0.3">
      <c r="B35" s="25">
        <v>4800</v>
      </c>
      <c r="C35" s="24" t="s">
        <v>97</v>
      </c>
      <c r="D35" s="9"/>
      <c r="E35" s="6">
        <v>15000</v>
      </c>
      <c r="F35" s="14">
        <f t="shared" si="13"/>
        <v>15000</v>
      </c>
      <c r="G35" s="6">
        <v>15500</v>
      </c>
      <c r="H35" s="14">
        <f t="shared" si="14"/>
        <v>15500</v>
      </c>
      <c r="I35" s="6"/>
      <c r="J35" s="9">
        <f t="shared" si="15"/>
        <v>0</v>
      </c>
      <c r="K35" s="6"/>
      <c r="L35" s="1"/>
      <c r="M35" s="53"/>
      <c r="N35" s="1"/>
      <c r="O35" s="1"/>
      <c r="P35" s="1"/>
      <c r="Q35" s="9"/>
      <c r="R35" s="6"/>
    </row>
    <row r="36" spans="1:18" s="18" customFormat="1" ht="18" customHeight="1" x14ac:dyDescent="0.35">
      <c r="B36" s="20" t="s">
        <v>74</v>
      </c>
      <c r="C36" s="23"/>
      <c r="D36" s="5">
        <f t="shared" ref="D36:E36" si="16">SUM(D30:D35)</f>
        <v>159318.48000000001</v>
      </c>
      <c r="E36" s="3">
        <f t="shared" si="16"/>
        <v>171000</v>
      </c>
      <c r="F36" s="11">
        <f>E36-D36</f>
        <v>11681.51999999999</v>
      </c>
      <c r="G36" s="3">
        <f>SUM(G30:G35)</f>
        <v>146218.51</v>
      </c>
      <c r="H36" s="11">
        <f>IFERROR(G36-D36,0)</f>
        <v>-13099.970000000001</v>
      </c>
      <c r="I36" s="3"/>
      <c r="J36" s="5">
        <f t="shared" ref="J36:K36" si="17">SUM(J30:J35)</f>
        <v>25435</v>
      </c>
      <c r="K36" s="3">
        <f t="shared" si="17"/>
        <v>159318.48000000001</v>
      </c>
      <c r="L36" s="2"/>
      <c r="M36" s="54"/>
      <c r="N36" s="2"/>
      <c r="O36" s="2"/>
      <c r="P36" s="2"/>
      <c r="Q36" s="5">
        <f t="shared" ref="Q36:R36" si="18">SUM(Q30:Q35)</f>
        <v>25435</v>
      </c>
      <c r="R36" s="3">
        <f t="shared" si="18"/>
        <v>0</v>
      </c>
    </row>
    <row r="37" spans="1:18" s="8" customFormat="1" ht="23.1" customHeight="1" x14ac:dyDescent="0.35">
      <c r="B37" s="19" t="s">
        <v>62</v>
      </c>
      <c r="C37" s="22"/>
      <c r="D37" s="7">
        <f t="shared" ref="D37:E37" si="19">D29-D36</f>
        <v>1523044.0699999998</v>
      </c>
      <c r="E37" s="4">
        <f t="shared" si="19"/>
        <v>1736000</v>
      </c>
      <c r="F37" s="10">
        <f>D37-E37</f>
        <v>-212955.93000000017</v>
      </c>
      <c r="G37" s="4">
        <f>G29-G36</f>
        <v>1805783.0999999999</v>
      </c>
      <c r="H37" s="10">
        <f>IFERROR(D37-G37,0)</f>
        <v>-282739.03000000003</v>
      </c>
      <c r="I37" s="4"/>
      <c r="J37" s="7">
        <f t="shared" ref="J37:K37" si="20">J29-J36</f>
        <v>462196</v>
      </c>
      <c r="K37" s="4">
        <f t="shared" si="20"/>
        <v>1523044.0699999998</v>
      </c>
      <c r="L37" s="1"/>
      <c r="M37" s="54">
        <f>SUM(M30:M36)</f>
        <v>136000</v>
      </c>
      <c r="N37" s="1"/>
      <c r="O37" s="1"/>
      <c r="P37" s="1"/>
      <c r="Q37" s="7">
        <f t="shared" ref="Q37:R37" si="21">Q29-Q36</f>
        <v>462196</v>
      </c>
      <c r="R37" s="4">
        <f t="shared" si="21"/>
        <v>0</v>
      </c>
    </row>
    <row r="38" spans="1:18" s="21" customFormat="1" ht="6" customHeight="1" x14ac:dyDescent="0.2">
      <c r="A38" s="8"/>
      <c r="F38" s="13"/>
      <c r="H38" s="13"/>
    </row>
    <row r="39" spans="1:18" s="8" customFormat="1" ht="18" customHeight="1" outlineLevel="1" x14ac:dyDescent="0.3">
      <c r="B39" s="25">
        <v>5000</v>
      </c>
      <c r="C39" s="24" t="s">
        <v>86</v>
      </c>
      <c r="D39" s="9">
        <v>584638.67000000004</v>
      </c>
      <c r="E39" s="6">
        <v>590000</v>
      </c>
      <c r="F39" s="14">
        <f t="shared" ref="F39:F51" si="22">E39-D39</f>
        <v>5361.3299999999581</v>
      </c>
      <c r="G39" s="6">
        <v>579607.75</v>
      </c>
      <c r="H39" s="14">
        <f t="shared" ref="H39:H51" si="23">IFERROR(G39-D39,0)</f>
        <v>-5030.9200000000419</v>
      </c>
      <c r="I39" s="6"/>
      <c r="J39" s="9">
        <f t="shared" ref="J39:J51" si="24">Q39+R39</f>
        <v>106000</v>
      </c>
      <c r="K39" s="6">
        <v>584638.67000000004</v>
      </c>
      <c r="L39" s="1"/>
      <c r="M39" s="1">
        <v>175000</v>
      </c>
      <c r="N39" s="1"/>
      <c r="O39" s="1"/>
      <c r="P39" s="1"/>
      <c r="Q39" s="9">
        <v>106000</v>
      </c>
      <c r="R39" s="6"/>
    </row>
    <row r="40" spans="1:18" s="8" customFormat="1" ht="18" customHeight="1" outlineLevel="1" x14ac:dyDescent="0.3">
      <c r="B40" s="25">
        <v>5010</v>
      </c>
      <c r="C40" s="24" t="s">
        <v>3</v>
      </c>
      <c r="D40" s="9">
        <v>610818</v>
      </c>
      <c r="E40" s="6">
        <v>400000</v>
      </c>
      <c r="F40" s="14">
        <f t="shared" si="22"/>
        <v>-210818</v>
      </c>
      <c r="G40" s="6">
        <v>476491.1</v>
      </c>
      <c r="H40" s="14">
        <f t="shared" si="23"/>
        <v>-134326.90000000002</v>
      </c>
      <c r="I40" s="6"/>
      <c r="J40" s="9">
        <f t="shared" si="24"/>
        <v>135532.5</v>
      </c>
      <c r="K40" s="6">
        <v>610818</v>
      </c>
      <c r="L40" s="1"/>
      <c r="M40" s="1">
        <v>559000</v>
      </c>
      <c r="N40" s="1"/>
      <c r="O40" s="1"/>
      <c r="P40" s="1"/>
      <c r="Q40" s="9">
        <v>135532.5</v>
      </c>
      <c r="R40" s="6"/>
    </row>
    <row r="41" spans="1:18" s="8" customFormat="1" ht="18" customHeight="1" outlineLevel="1" x14ac:dyDescent="0.3">
      <c r="B41" s="25">
        <v>5012</v>
      </c>
      <c r="C41" s="24" t="s">
        <v>10</v>
      </c>
      <c r="D41" s="9"/>
      <c r="E41" s="6"/>
      <c r="F41" s="14">
        <f t="shared" si="22"/>
        <v>0</v>
      </c>
      <c r="G41" s="6">
        <v>0</v>
      </c>
      <c r="H41" s="14">
        <f t="shared" si="23"/>
        <v>0</v>
      </c>
      <c r="I41" s="6"/>
      <c r="J41" s="9">
        <f t="shared" si="24"/>
        <v>0</v>
      </c>
      <c r="K41" s="6"/>
      <c r="L41" s="1"/>
      <c r="M41" s="1"/>
      <c r="N41" s="1"/>
      <c r="O41" s="1"/>
      <c r="P41" s="1"/>
      <c r="Q41" s="9"/>
      <c r="R41" s="6"/>
    </row>
    <row r="42" spans="1:18" s="8" customFormat="1" ht="18" customHeight="1" outlineLevel="1" x14ac:dyDescent="0.2">
      <c r="B42" s="25">
        <v>5092</v>
      </c>
      <c r="C42" s="24" t="s">
        <v>87</v>
      </c>
      <c r="D42" s="9">
        <v>121936.58</v>
      </c>
      <c r="E42" s="6">
        <v>110000</v>
      </c>
      <c r="F42" s="14">
        <f t="shared" si="22"/>
        <v>-11936.580000000002</v>
      </c>
      <c r="G42" s="6">
        <v>107722.1</v>
      </c>
      <c r="H42" s="14">
        <f t="shared" si="23"/>
        <v>-14214.479999999996</v>
      </c>
      <c r="I42" s="6"/>
      <c r="J42" s="9">
        <f t="shared" si="24"/>
        <v>24636.32</v>
      </c>
      <c r="K42" s="6">
        <v>121936.58</v>
      </c>
      <c r="L42" s="1"/>
      <c r="M42" s="1">
        <v>67524</v>
      </c>
      <c r="N42" s="1"/>
      <c r="O42" s="1"/>
      <c r="P42" s="1"/>
      <c r="Q42" s="9">
        <v>24636.32</v>
      </c>
      <c r="R42" s="6"/>
    </row>
    <row r="43" spans="1:18" s="8" customFormat="1" ht="18" customHeight="1" outlineLevel="1" x14ac:dyDescent="0.2">
      <c r="B43" s="25">
        <v>5210</v>
      </c>
      <c r="C43" s="24" t="s">
        <v>33</v>
      </c>
      <c r="D43" s="9">
        <v>4392</v>
      </c>
      <c r="E43" s="6">
        <v>5000</v>
      </c>
      <c r="F43" s="14">
        <f t="shared" si="22"/>
        <v>608</v>
      </c>
      <c r="G43" s="6">
        <v>4392</v>
      </c>
      <c r="H43" s="14">
        <f t="shared" si="23"/>
        <v>0</v>
      </c>
      <c r="I43" s="6"/>
      <c r="J43" s="9">
        <f t="shared" si="24"/>
        <v>732</v>
      </c>
      <c r="K43" s="6">
        <v>4392</v>
      </c>
      <c r="L43" s="1"/>
      <c r="M43" s="1"/>
      <c r="N43" s="1"/>
      <c r="O43" s="1"/>
      <c r="P43" s="1"/>
      <c r="Q43" s="9">
        <v>732</v>
      </c>
      <c r="R43" s="6"/>
    </row>
    <row r="44" spans="1:18" s="8" customFormat="1" ht="18" customHeight="1" outlineLevel="1" x14ac:dyDescent="0.2">
      <c r="B44" s="25">
        <v>5270</v>
      </c>
      <c r="C44" s="24" t="s">
        <v>54</v>
      </c>
      <c r="D44" s="9">
        <v>29794.28</v>
      </c>
      <c r="E44" s="6">
        <v>25000</v>
      </c>
      <c r="F44" s="14">
        <f t="shared" si="22"/>
        <v>-4794.2799999999988</v>
      </c>
      <c r="G44" s="6">
        <v>22738.07</v>
      </c>
      <c r="H44" s="14">
        <f t="shared" si="23"/>
        <v>-7056.2099999999991</v>
      </c>
      <c r="I44" s="6"/>
      <c r="J44" s="9">
        <f t="shared" si="24"/>
        <v>0</v>
      </c>
      <c r="K44" s="6">
        <v>29794.28</v>
      </c>
      <c r="L44" s="1"/>
      <c r="M44" s="1"/>
      <c r="N44" s="1"/>
      <c r="O44" s="1"/>
      <c r="P44" s="1"/>
      <c r="Q44" s="9"/>
      <c r="R44" s="6"/>
    </row>
    <row r="45" spans="1:18" s="8" customFormat="1" ht="18" customHeight="1" outlineLevel="1" x14ac:dyDescent="0.2">
      <c r="B45" s="25">
        <v>5290</v>
      </c>
      <c r="C45" s="24" t="s">
        <v>88</v>
      </c>
      <c r="D45" s="9">
        <v>-34186.28</v>
      </c>
      <c r="E45" s="6"/>
      <c r="F45" s="14">
        <f t="shared" si="22"/>
        <v>34186.28</v>
      </c>
      <c r="G45" s="6">
        <v>-27130.07</v>
      </c>
      <c r="H45" s="14">
        <f t="shared" si="23"/>
        <v>7056.2099999999991</v>
      </c>
      <c r="I45" s="6"/>
      <c r="J45" s="9">
        <f t="shared" si="24"/>
        <v>-732</v>
      </c>
      <c r="K45" s="6">
        <v>-34186.28</v>
      </c>
      <c r="L45" s="1"/>
      <c r="M45" s="1"/>
      <c r="N45" s="1"/>
      <c r="O45" s="1"/>
      <c r="P45" s="1"/>
      <c r="Q45" s="9">
        <v>-732</v>
      </c>
      <c r="R45" s="6"/>
    </row>
    <row r="46" spans="1:18" s="8" customFormat="1" ht="18" customHeight="1" outlineLevel="1" x14ac:dyDescent="0.3">
      <c r="B46" s="25">
        <v>5331</v>
      </c>
      <c r="C46" s="24" t="s">
        <v>64</v>
      </c>
      <c r="D46" s="9">
        <v>11000</v>
      </c>
      <c r="E46" s="6"/>
      <c r="F46" s="14">
        <f t="shared" si="22"/>
        <v>-11000</v>
      </c>
      <c r="G46" s="6"/>
      <c r="H46" s="14">
        <f t="shared" si="23"/>
        <v>-11000</v>
      </c>
      <c r="I46" s="6"/>
      <c r="J46" s="9">
        <f t="shared" si="24"/>
        <v>0</v>
      </c>
      <c r="K46" s="6">
        <v>11000</v>
      </c>
      <c r="L46" s="1"/>
      <c r="M46" s="1"/>
      <c r="N46" s="1"/>
      <c r="O46" s="1"/>
      <c r="P46" s="1"/>
      <c r="Q46" s="9"/>
      <c r="R46" s="6"/>
    </row>
    <row r="47" spans="1:18" s="8" customFormat="1" ht="18" customHeight="1" outlineLevel="1" x14ac:dyDescent="0.2">
      <c r="B47" s="25">
        <v>5400</v>
      </c>
      <c r="C47" s="24" t="s">
        <v>55</v>
      </c>
      <c r="D47" s="9">
        <v>153721.26999999999</v>
      </c>
      <c r="E47" s="6">
        <v>130000</v>
      </c>
      <c r="F47" s="14">
        <f t="shared" si="22"/>
        <v>-23721.26999999999</v>
      </c>
      <c r="G47" s="6">
        <v>127869.91</v>
      </c>
      <c r="H47" s="14">
        <f t="shared" si="23"/>
        <v>-25851.359999999986</v>
      </c>
      <c r="I47" s="6"/>
      <c r="J47" s="9">
        <f t="shared" si="24"/>
        <v>34159.32</v>
      </c>
      <c r="K47" s="6">
        <v>153721.26999999999</v>
      </c>
      <c r="L47" s="1"/>
      <c r="M47" s="1">
        <v>93342</v>
      </c>
      <c r="N47" s="1"/>
      <c r="O47" s="1"/>
      <c r="P47" s="1"/>
      <c r="Q47" s="9">
        <v>34159.32</v>
      </c>
      <c r="R47" s="6"/>
    </row>
    <row r="48" spans="1:18" s="8" customFormat="1" ht="18" customHeight="1" outlineLevel="1" x14ac:dyDescent="0.3">
      <c r="B48" s="25">
        <v>5405</v>
      </c>
      <c r="C48" s="24" t="s">
        <v>18</v>
      </c>
      <c r="D48" s="9">
        <v>17193.080000000002</v>
      </c>
      <c r="E48" s="6">
        <v>15000</v>
      </c>
      <c r="F48" s="14">
        <f t="shared" si="22"/>
        <v>-2193.0800000000017</v>
      </c>
      <c r="G48" s="6">
        <v>15188.81</v>
      </c>
      <c r="H48" s="14">
        <f t="shared" si="23"/>
        <v>-2004.2700000000023</v>
      </c>
      <c r="I48" s="6"/>
      <c r="J48" s="9">
        <f t="shared" si="24"/>
        <v>3473.75</v>
      </c>
      <c r="K48" s="6">
        <v>17193.080000000002</v>
      </c>
      <c r="L48" s="1"/>
      <c r="M48" s="1">
        <v>9521</v>
      </c>
      <c r="N48" s="1"/>
      <c r="O48" s="1"/>
      <c r="P48" s="1"/>
      <c r="Q48" s="9">
        <v>3473.75</v>
      </c>
      <c r="R48" s="6"/>
    </row>
    <row r="49" spans="2:18" s="8" customFormat="1" ht="18" customHeight="1" outlineLevel="1" x14ac:dyDescent="0.2">
      <c r="B49" s="25">
        <v>5800</v>
      </c>
      <c r="C49" s="24" t="s">
        <v>89</v>
      </c>
      <c r="D49" s="9">
        <v>-139422</v>
      </c>
      <c r="E49" s="6"/>
      <c r="F49" s="14">
        <f t="shared" si="22"/>
        <v>139422</v>
      </c>
      <c r="G49" s="6">
        <v>-121628</v>
      </c>
      <c r="H49" s="14">
        <f t="shared" si="23"/>
        <v>17794</v>
      </c>
      <c r="I49" s="6"/>
      <c r="J49" s="9">
        <f t="shared" si="24"/>
        <v>0</v>
      </c>
      <c r="K49" s="6">
        <v>-139422</v>
      </c>
      <c r="L49" s="1"/>
      <c r="M49" s="1"/>
      <c r="N49" s="1"/>
      <c r="O49" s="1"/>
      <c r="P49" s="1"/>
      <c r="Q49" s="9"/>
      <c r="R49" s="6"/>
    </row>
    <row r="50" spans="2:18" s="8" customFormat="1" ht="18" customHeight="1" outlineLevel="1" x14ac:dyDescent="0.2">
      <c r="B50" s="25">
        <v>5950</v>
      </c>
      <c r="C50" s="24" t="s">
        <v>4</v>
      </c>
      <c r="D50" s="9">
        <v>29794.28</v>
      </c>
      <c r="E50" s="6">
        <v>23000</v>
      </c>
      <c r="F50" s="14">
        <f t="shared" si="22"/>
        <v>-6794.2799999999988</v>
      </c>
      <c r="G50" s="6">
        <v>22738.07</v>
      </c>
      <c r="H50" s="14">
        <f t="shared" si="23"/>
        <v>-7056.2099999999991</v>
      </c>
      <c r="I50" s="6"/>
      <c r="J50" s="9">
        <f t="shared" si="24"/>
        <v>3016.1</v>
      </c>
      <c r="K50" s="6">
        <v>29794.28</v>
      </c>
      <c r="L50" s="1"/>
      <c r="M50" s="1">
        <v>28800</v>
      </c>
      <c r="N50" s="1"/>
      <c r="O50" s="1"/>
      <c r="P50" s="1"/>
      <c r="Q50" s="9">
        <v>3016.1</v>
      </c>
      <c r="R50" s="6"/>
    </row>
    <row r="51" spans="2:18" s="8" customFormat="1" ht="18" customHeight="1" outlineLevel="1" x14ac:dyDescent="0.3">
      <c r="B51" s="25">
        <v>5951</v>
      </c>
      <c r="C51" s="24" t="s">
        <v>26</v>
      </c>
      <c r="D51" s="9"/>
      <c r="E51" s="6">
        <v>3000</v>
      </c>
      <c r="F51" s="14">
        <f t="shared" si="22"/>
        <v>3000</v>
      </c>
      <c r="G51" s="6">
        <v>1800</v>
      </c>
      <c r="H51" s="14">
        <f t="shared" si="23"/>
        <v>1800</v>
      </c>
      <c r="I51" s="6"/>
      <c r="J51" s="9">
        <f t="shared" si="24"/>
        <v>0</v>
      </c>
      <c r="K51" s="6"/>
      <c r="L51" s="1"/>
      <c r="M51" s="1"/>
      <c r="N51" s="1"/>
      <c r="O51" s="1"/>
      <c r="P51" s="1"/>
      <c r="Q51" s="9"/>
      <c r="R51" s="6"/>
    </row>
    <row r="52" spans="2:18" s="18" customFormat="1" ht="18" customHeight="1" x14ac:dyDescent="0.35">
      <c r="B52" s="20" t="s">
        <v>0</v>
      </c>
      <c r="C52" s="23"/>
      <c r="D52" s="5">
        <f t="shared" ref="D52:E52" si="25">SUM(D39:D51)</f>
        <v>1389679.8800000001</v>
      </c>
      <c r="E52" s="3">
        <f t="shared" si="25"/>
        <v>1301000</v>
      </c>
      <c r="F52" s="11">
        <f>E52-D52</f>
        <v>-88679.880000000121</v>
      </c>
      <c r="G52" s="3">
        <f>SUM(G39:G51)</f>
        <v>1209789.7400000002</v>
      </c>
      <c r="H52" s="11">
        <f>IFERROR(G52-D52,0)</f>
        <v>-179890.1399999999</v>
      </c>
      <c r="I52" s="3"/>
      <c r="J52" s="5">
        <f t="shared" ref="J52:K52" si="26">SUM(J39:J51)</f>
        <v>306817.99</v>
      </c>
      <c r="K52" s="3">
        <f t="shared" si="26"/>
        <v>1389679.8800000001</v>
      </c>
      <c r="L52" s="2"/>
      <c r="M52" s="54">
        <f>SUM(M39:M51)</f>
        <v>933187</v>
      </c>
      <c r="N52" s="2"/>
      <c r="O52" s="2"/>
      <c r="P52" s="2"/>
      <c r="Q52" s="5">
        <f t="shared" ref="Q52:R52" si="27">SUM(Q39:Q51)</f>
        <v>306817.99</v>
      </c>
      <c r="R52" s="3">
        <f t="shared" si="27"/>
        <v>0</v>
      </c>
    </row>
    <row r="53" spans="2:18" s="18" customFormat="1" ht="18" customHeight="1" x14ac:dyDescent="0.2">
      <c r="B53" s="20" t="s">
        <v>99</v>
      </c>
      <c r="C53" s="23"/>
      <c r="D53" s="5">
        <f t="shared" ref="D53:E53" si="28">SUM(0)</f>
        <v>0</v>
      </c>
      <c r="E53" s="3">
        <f t="shared" si="28"/>
        <v>0</v>
      </c>
      <c r="F53" s="11">
        <f t="shared" ref="F53:F85" si="29">E53-D53</f>
        <v>0</v>
      </c>
      <c r="G53" s="3">
        <f>SUM(0)</f>
        <v>0</v>
      </c>
      <c r="H53" s="11">
        <f t="shared" ref="H53:H85" si="30">IFERROR(G53-D53,0)</f>
        <v>0</v>
      </c>
      <c r="I53" s="3"/>
      <c r="J53" s="5">
        <f t="shared" ref="J53:K53" si="31">SUM(0)</f>
        <v>0</v>
      </c>
      <c r="K53" s="3">
        <f t="shared" si="31"/>
        <v>0</v>
      </c>
      <c r="L53" s="2"/>
      <c r="M53" s="2"/>
      <c r="N53" s="2"/>
      <c r="O53" s="2"/>
      <c r="P53" s="2"/>
      <c r="Q53" s="5">
        <f t="shared" ref="Q53:R53" si="32">SUM(0)</f>
        <v>0</v>
      </c>
      <c r="R53" s="3">
        <f t="shared" si="32"/>
        <v>0</v>
      </c>
    </row>
    <row r="54" spans="2:18" s="8" customFormat="1" ht="18" customHeight="1" outlineLevel="1" x14ac:dyDescent="0.2">
      <c r="B54" s="25">
        <v>6300</v>
      </c>
      <c r="C54" s="24" t="s">
        <v>100</v>
      </c>
      <c r="D54" s="9">
        <v>76559.75</v>
      </c>
      <c r="E54" s="6">
        <v>50000</v>
      </c>
      <c r="F54" s="14">
        <f t="shared" si="29"/>
        <v>-26559.75</v>
      </c>
      <c r="G54" s="6">
        <v>55067.199999999997</v>
      </c>
      <c r="H54" s="14">
        <f t="shared" si="30"/>
        <v>-21492.550000000003</v>
      </c>
      <c r="I54" s="6"/>
      <c r="J54" s="9">
        <f t="shared" ref="J54:J85" si="33">Q54+R54</f>
        <v>4644</v>
      </c>
      <c r="K54" s="6">
        <v>76559.75</v>
      </c>
      <c r="L54" s="1"/>
      <c r="M54" s="1">
        <v>77000</v>
      </c>
      <c r="N54" s="1"/>
      <c r="O54" s="1"/>
      <c r="P54" s="1"/>
      <c r="Q54" s="9">
        <v>4644</v>
      </c>
      <c r="R54" s="6"/>
    </row>
    <row r="55" spans="2:18" s="8" customFormat="1" ht="18" customHeight="1" outlineLevel="1" x14ac:dyDescent="0.2">
      <c r="B55" s="25">
        <v>6305</v>
      </c>
      <c r="C55" s="24" t="s">
        <v>71</v>
      </c>
      <c r="D55" s="9">
        <v>-364.8</v>
      </c>
      <c r="E55" s="6">
        <v>25000</v>
      </c>
      <c r="F55" s="14">
        <f t="shared" si="29"/>
        <v>25364.799999999999</v>
      </c>
      <c r="G55" s="6">
        <v>19540.8</v>
      </c>
      <c r="H55" s="14">
        <f t="shared" si="30"/>
        <v>19905.599999999999</v>
      </c>
      <c r="I55" s="6"/>
      <c r="J55" s="9">
        <f t="shared" si="33"/>
        <v>0</v>
      </c>
      <c r="K55" s="6">
        <v>-364.8</v>
      </c>
      <c r="L55" s="1"/>
      <c r="M55" s="1">
        <v>25000</v>
      </c>
      <c r="N55" s="1"/>
      <c r="O55" s="1"/>
      <c r="P55" s="1"/>
      <c r="Q55" s="9"/>
      <c r="R55" s="6"/>
    </row>
    <row r="56" spans="2:18" s="8" customFormat="1" ht="18" customHeight="1" outlineLevel="1" x14ac:dyDescent="0.2">
      <c r="B56" s="25">
        <v>6410</v>
      </c>
      <c r="C56" s="24" t="s">
        <v>108</v>
      </c>
      <c r="D56" s="9">
        <v>18000</v>
      </c>
      <c r="E56" s="6"/>
      <c r="F56" s="14">
        <f t="shared" si="29"/>
        <v>-18000</v>
      </c>
      <c r="G56" s="6"/>
      <c r="H56" s="14">
        <f t="shared" si="30"/>
        <v>-18000</v>
      </c>
      <c r="I56" s="6"/>
      <c r="J56" s="9">
        <f t="shared" si="33"/>
        <v>0</v>
      </c>
      <c r="K56" s="6">
        <v>18000</v>
      </c>
      <c r="L56" s="1"/>
      <c r="M56" s="1"/>
      <c r="N56" s="1"/>
      <c r="O56" s="1"/>
      <c r="P56" s="1"/>
      <c r="Q56" s="9"/>
      <c r="R56" s="6"/>
    </row>
    <row r="57" spans="2:18" s="8" customFormat="1" ht="18" customHeight="1" outlineLevel="1" x14ac:dyDescent="0.2">
      <c r="B57" s="25">
        <v>6440</v>
      </c>
      <c r="C57" s="24" t="s">
        <v>46</v>
      </c>
      <c r="D57" s="9">
        <v>29442.26</v>
      </c>
      <c r="E57" s="6"/>
      <c r="F57" s="14">
        <f t="shared" si="29"/>
        <v>-29442.26</v>
      </c>
      <c r="G57" s="6"/>
      <c r="H57" s="14">
        <f t="shared" si="30"/>
        <v>-29442.26</v>
      </c>
      <c r="I57" s="6"/>
      <c r="J57" s="9">
        <f t="shared" si="33"/>
        <v>0</v>
      </c>
      <c r="K57" s="6">
        <v>29442.26</v>
      </c>
      <c r="L57" s="1"/>
      <c r="M57" s="1"/>
      <c r="N57" s="1"/>
      <c r="O57" s="1"/>
      <c r="P57" s="1"/>
      <c r="Q57" s="9"/>
      <c r="R57" s="6"/>
    </row>
    <row r="58" spans="2:18" s="8" customFormat="1" ht="18" customHeight="1" outlineLevel="1" x14ac:dyDescent="0.2">
      <c r="B58" s="25">
        <v>6540</v>
      </c>
      <c r="C58" s="24" t="s">
        <v>34</v>
      </c>
      <c r="D58" s="9"/>
      <c r="E58" s="6"/>
      <c r="F58" s="14">
        <f t="shared" si="29"/>
        <v>0</v>
      </c>
      <c r="G58" s="6">
        <v>5060.25</v>
      </c>
      <c r="H58" s="14">
        <f t="shared" si="30"/>
        <v>5060.25</v>
      </c>
      <c r="I58" s="6"/>
      <c r="J58" s="9">
        <f t="shared" si="33"/>
        <v>0</v>
      </c>
      <c r="K58" s="6"/>
      <c r="L58" s="1"/>
      <c r="M58" s="1"/>
      <c r="N58" s="1"/>
      <c r="O58" s="1"/>
      <c r="P58" s="1"/>
      <c r="Q58" s="9"/>
      <c r="R58" s="6"/>
    </row>
    <row r="59" spans="2:18" s="8" customFormat="1" ht="18" customHeight="1" outlineLevel="1" x14ac:dyDescent="0.2">
      <c r="B59" s="25">
        <v>6551</v>
      </c>
      <c r="C59" s="24" t="s">
        <v>65</v>
      </c>
      <c r="D59" s="9"/>
      <c r="E59" s="6">
        <v>2000</v>
      </c>
      <c r="F59" s="14">
        <f t="shared" si="29"/>
        <v>2000</v>
      </c>
      <c r="G59" s="6"/>
      <c r="H59" s="14">
        <f t="shared" si="30"/>
        <v>0</v>
      </c>
      <c r="I59" s="6"/>
      <c r="J59" s="9">
        <f t="shared" si="33"/>
        <v>0</v>
      </c>
      <c r="K59" s="6"/>
      <c r="L59" s="1"/>
      <c r="M59" s="1"/>
      <c r="N59" s="1"/>
      <c r="O59" s="1"/>
      <c r="P59" s="1"/>
      <c r="Q59" s="9"/>
      <c r="R59" s="6"/>
    </row>
    <row r="60" spans="2:18" s="8" customFormat="1" ht="18" customHeight="1" outlineLevel="1" x14ac:dyDescent="0.3">
      <c r="B60" s="25">
        <v>6560</v>
      </c>
      <c r="C60" s="24" t="s">
        <v>56</v>
      </c>
      <c r="D60" s="9">
        <v>7039.38</v>
      </c>
      <c r="E60" s="6">
        <v>5000</v>
      </c>
      <c r="F60" s="14">
        <f t="shared" si="29"/>
        <v>-2039.38</v>
      </c>
      <c r="G60" s="6"/>
      <c r="H60" s="14">
        <f t="shared" si="30"/>
        <v>-7039.38</v>
      </c>
      <c r="I60" s="6"/>
      <c r="J60" s="9">
        <f t="shared" si="33"/>
        <v>0</v>
      </c>
      <c r="K60" s="6">
        <v>7039.38</v>
      </c>
      <c r="L60" s="1"/>
      <c r="M60" s="1"/>
      <c r="N60" s="1"/>
      <c r="O60" s="1"/>
      <c r="P60" s="1"/>
      <c r="Q60" s="9"/>
      <c r="R60" s="6"/>
    </row>
    <row r="61" spans="2:18" s="8" customFormat="1" ht="18" customHeight="1" outlineLevel="1" x14ac:dyDescent="0.2">
      <c r="B61" s="25">
        <v>6590</v>
      </c>
      <c r="C61" s="24" t="s">
        <v>41</v>
      </c>
      <c r="D61" s="9">
        <v>110</v>
      </c>
      <c r="E61" s="6"/>
      <c r="F61" s="14">
        <f t="shared" si="29"/>
        <v>-110</v>
      </c>
      <c r="G61" s="6">
        <v>2187.5</v>
      </c>
      <c r="H61" s="14">
        <f t="shared" si="30"/>
        <v>2077.5</v>
      </c>
      <c r="I61" s="6"/>
      <c r="J61" s="9">
        <f t="shared" si="33"/>
        <v>0</v>
      </c>
      <c r="K61" s="6">
        <v>110</v>
      </c>
      <c r="L61" s="1"/>
      <c r="M61" s="1"/>
      <c r="N61" s="1"/>
      <c r="O61" s="1"/>
      <c r="P61" s="1"/>
      <c r="Q61" s="9"/>
      <c r="R61" s="6"/>
    </row>
    <row r="62" spans="2:18" s="8" customFormat="1" ht="18" customHeight="1" outlineLevel="1" x14ac:dyDescent="0.3">
      <c r="B62" s="25">
        <v>6690</v>
      </c>
      <c r="C62" s="24" t="s">
        <v>101</v>
      </c>
      <c r="D62" s="9">
        <v>16525</v>
      </c>
      <c r="E62" s="6"/>
      <c r="F62" s="14">
        <f t="shared" si="29"/>
        <v>-16525</v>
      </c>
      <c r="G62" s="6"/>
      <c r="H62" s="14">
        <f t="shared" si="30"/>
        <v>-16525</v>
      </c>
      <c r="I62" s="6"/>
      <c r="J62" s="9">
        <f t="shared" si="33"/>
        <v>258</v>
      </c>
      <c r="K62" s="6">
        <v>16525</v>
      </c>
      <c r="L62" s="1"/>
      <c r="M62" s="1"/>
      <c r="N62" s="1"/>
      <c r="O62" s="1"/>
      <c r="P62" s="1"/>
      <c r="Q62" s="9">
        <v>258</v>
      </c>
      <c r="R62" s="6"/>
    </row>
    <row r="63" spans="2:18" s="8" customFormat="1" ht="18" customHeight="1" outlineLevel="1" x14ac:dyDescent="0.2">
      <c r="B63" s="25">
        <v>6720</v>
      </c>
      <c r="C63" s="24" t="s">
        <v>11</v>
      </c>
      <c r="D63" s="9"/>
      <c r="E63" s="6">
        <v>3000</v>
      </c>
      <c r="F63" s="14">
        <f t="shared" si="29"/>
        <v>3000</v>
      </c>
      <c r="G63" s="6"/>
      <c r="H63" s="14">
        <f t="shared" si="30"/>
        <v>0</v>
      </c>
      <c r="I63" s="6"/>
      <c r="J63" s="9">
        <f t="shared" si="33"/>
        <v>0</v>
      </c>
      <c r="K63" s="6"/>
      <c r="L63" s="1"/>
      <c r="M63" s="1">
        <v>3000</v>
      </c>
      <c r="N63" s="1"/>
      <c r="O63" s="1"/>
      <c r="P63" s="1"/>
      <c r="Q63" s="9"/>
      <c r="R63" s="6"/>
    </row>
    <row r="64" spans="2:18" s="8" customFormat="1" ht="18" customHeight="1" outlineLevel="1" x14ac:dyDescent="0.2">
      <c r="B64" s="25">
        <v>6800</v>
      </c>
      <c r="C64" s="24" t="s">
        <v>47</v>
      </c>
      <c r="D64" s="9">
        <v>1809</v>
      </c>
      <c r="E64" s="6">
        <v>1000</v>
      </c>
      <c r="F64" s="14">
        <f t="shared" si="29"/>
        <v>-809</v>
      </c>
      <c r="G64" s="6"/>
      <c r="H64" s="14">
        <f t="shared" si="30"/>
        <v>-1809</v>
      </c>
      <c r="I64" s="6"/>
      <c r="J64" s="9">
        <f t="shared" si="33"/>
        <v>0</v>
      </c>
      <c r="K64" s="6">
        <v>1809</v>
      </c>
      <c r="L64" s="1"/>
      <c r="M64" s="1"/>
      <c r="N64" s="1"/>
      <c r="O64" s="1"/>
      <c r="P64" s="1"/>
      <c r="Q64" s="9"/>
      <c r="R64" s="6"/>
    </row>
    <row r="65" spans="2:18" s="8" customFormat="1" ht="18" customHeight="1" outlineLevel="1" x14ac:dyDescent="0.2">
      <c r="B65" s="25">
        <v>6810</v>
      </c>
      <c r="C65" s="24" t="s">
        <v>102</v>
      </c>
      <c r="D65" s="9">
        <v>3777.88</v>
      </c>
      <c r="E65" s="6"/>
      <c r="F65" s="14">
        <f t="shared" si="29"/>
        <v>-3777.88</v>
      </c>
      <c r="G65" s="6">
        <v>4764.6899999999996</v>
      </c>
      <c r="H65" s="14">
        <f t="shared" si="30"/>
        <v>986.80999999999949</v>
      </c>
      <c r="I65" s="6"/>
      <c r="J65" s="9">
        <f t="shared" si="33"/>
        <v>0</v>
      </c>
      <c r="K65" s="6">
        <v>3777.88</v>
      </c>
      <c r="L65" s="1"/>
      <c r="M65" s="1"/>
      <c r="N65" s="1"/>
      <c r="O65" s="1"/>
      <c r="P65" s="1"/>
      <c r="Q65" s="9"/>
      <c r="R65" s="6"/>
    </row>
    <row r="66" spans="2:18" s="8" customFormat="1" ht="18" customHeight="1" outlineLevel="1" x14ac:dyDescent="0.2">
      <c r="B66" s="25">
        <v>6820</v>
      </c>
      <c r="C66" s="24" t="s">
        <v>12</v>
      </c>
      <c r="D66" s="9"/>
      <c r="E66" s="6">
        <v>2000</v>
      </c>
      <c r="F66" s="14">
        <f t="shared" si="29"/>
        <v>2000</v>
      </c>
      <c r="G66" s="6"/>
      <c r="H66" s="14">
        <f t="shared" si="30"/>
        <v>0</v>
      </c>
      <c r="I66" s="6"/>
      <c r="J66" s="9">
        <f t="shared" si="33"/>
        <v>0</v>
      </c>
      <c r="K66" s="6"/>
      <c r="L66" s="1"/>
      <c r="M66" s="1"/>
      <c r="N66" s="1"/>
      <c r="O66" s="1"/>
      <c r="P66" s="1"/>
      <c r="Q66" s="9"/>
      <c r="R66" s="6"/>
    </row>
    <row r="67" spans="2:18" s="8" customFormat="1" ht="18" customHeight="1" outlineLevel="1" x14ac:dyDescent="0.3">
      <c r="B67" s="25">
        <v>6860</v>
      </c>
      <c r="C67" s="24" t="s">
        <v>27</v>
      </c>
      <c r="D67" s="9">
        <v>12818.38</v>
      </c>
      <c r="E67" s="6"/>
      <c r="F67" s="14">
        <f t="shared" si="29"/>
        <v>-12818.38</v>
      </c>
      <c r="G67" s="6"/>
      <c r="H67" s="14">
        <f t="shared" si="30"/>
        <v>-12818.38</v>
      </c>
      <c r="I67" s="6"/>
      <c r="J67" s="9">
        <f t="shared" si="33"/>
        <v>3422</v>
      </c>
      <c r="K67" s="6">
        <v>12818.38</v>
      </c>
      <c r="L67" s="1"/>
      <c r="M67" s="1"/>
      <c r="N67" s="1"/>
      <c r="O67" s="1"/>
      <c r="P67" s="1"/>
      <c r="Q67" s="9">
        <v>3422</v>
      </c>
      <c r="R67" s="6"/>
    </row>
    <row r="68" spans="2:18" s="8" customFormat="1" ht="18" customHeight="1" outlineLevel="1" x14ac:dyDescent="0.2">
      <c r="B68" s="25">
        <v>6900</v>
      </c>
      <c r="C68" s="24" t="s">
        <v>80</v>
      </c>
      <c r="D68" s="9">
        <v>4974.91</v>
      </c>
      <c r="E68" s="6">
        <v>7000</v>
      </c>
      <c r="F68" s="14">
        <f t="shared" si="29"/>
        <v>2025.0900000000001</v>
      </c>
      <c r="G68" s="6">
        <v>7837.68</v>
      </c>
      <c r="H68" s="14">
        <f t="shared" si="30"/>
        <v>2862.7700000000004</v>
      </c>
      <c r="I68" s="6"/>
      <c r="J68" s="9">
        <f t="shared" si="33"/>
        <v>1020.9</v>
      </c>
      <c r="K68" s="6">
        <v>4974.91</v>
      </c>
      <c r="L68" s="1"/>
      <c r="M68" s="1">
        <v>3600</v>
      </c>
      <c r="N68" s="1"/>
      <c r="O68" s="1"/>
      <c r="P68" s="1"/>
      <c r="Q68" s="9">
        <v>1020.9</v>
      </c>
      <c r="R68" s="6"/>
    </row>
    <row r="69" spans="2:18" s="8" customFormat="1" ht="18" customHeight="1" outlineLevel="1" x14ac:dyDescent="0.2">
      <c r="B69" s="25">
        <v>6903</v>
      </c>
      <c r="C69" s="24" t="s">
        <v>48</v>
      </c>
      <c r="D69" s="9"/>
      <c r="E69" s="6"/>
      <c r="F69" s="14">
        <f t="shared" si="29"/>
        <v>0</v>
      </c>
      <c r="G69" s="6">
        <v>10268</v>
      </c>
      <c r="H69" s="14">
        <f t="shared" si="30"/>
        <v>10268</v>
      </c>
      <c r="I69" s="6"/>
      <c r="J69" s="9">
        <f t="shared" si="33"/>
        <v>0</v>
      </c>
      <c r="K69" s="6"/>
      <c r="L69" s="1"/>
      <c r="M69" s="1"/>
      <c r="N69" s="1"/>
      <c r="O69" s="1"/>
      <c r="P69" s="1"/>
      <c r="Q69" s="9"/>
      <c r="R69" s="6"/>
    </row>
    <row r="70" spans="2:18" s="8" customFormat="1" ht="18" customHeight="1" outlineLevel="1" x14ac:dyDescent="0.2">
      <c r="B70" s="25">
        <v>7000</v>
      </c>
      <c r="C70" s="24" t="s">
        <v>81</v>
      </c>
      <c r="D70" s="9"/>
      <c r="E70" s="6"/>
      <c r="F70" s="14">
        <f t="shared" si="29"/>
        <v>0</v>
      </c>
      <c r="G70" s="6">
        <v>2868.42</v>
      </c>
      <c r="H70" s="14">
        <f t="shared" si="30"/>
        <v>2868.42</v>
      </c>
      <c r="I70" s="6"/>
      <c r="J70" s="9">
        <f t="shared" si="33"/>
        <v>0</v>
      </c>
      <c r="K70" s="6"/>
      <c r="L70" s="1"/>
      <c r="M70" s="1"/>
      <c r="N70" s="1"/>
      <c r="O70" s="1"/>
      <c r="P70" s="1"/>
      <c r="Q70" s="9"/>
      <c r="R70" s="6"/>
    </row>
    <row r="71" spans="2:18" s="8" customFormat="1" ht="18" customHeight="1" outlineLevel="1" x14ac:dyDescent="0.2">
      <c r="B71" s="25">
        <v>7020</v>
      </c>
      <c r="C71" s="24" t="s">
        <v>109</v>
      </c>
      <c r="D71" s="9"/>
      <c r="E71" s="6"/>
      <c r="F71" s="14">
        <f t="shared" si="29"/>
        <v>0</v>
      </c>
      <c r="G71" s="6">
        <v>23815.34</v>
      </c>
      <c r="H71" s="14">
        <f t="shared" si="30"/>
        <v>23815.34</v>
      </c>
      <c r="I71" s="6"/>
      <c r="J71" s="9">
        <f t="shared" si="33"/>
        <v>0</v>
      </c>
      <c r="K71" s="6"/>
      <c r="L71" s="1"/>
      <c r="M71" s="1"/>
      <c r="N71" s="1"/>
      <c r="O71" s="1"/>
      <c r="P71" s="1"/>
      <c r="Q71" s="9"/>
      <c r="R71" s="6"/>
    </row>
    <row r="72" spans="2:18" s="8" customFormat="1" ht="18" customHeight="1" outlineLevel="1" x14ac:dyDescent="0.2">
      <c r="B72" s="25">
        <v>7130</v>
      </c>
      <c r="C72" s="24" t="s">
        <v>90</v>
      </c>
      <c r="D72" s="9"/>
      <c r="E72" s="6">
        <v>275000</v>
      </c>
      <c r="F72" s="14">
        <f t="shared" si="29"/>
        <v>275000</v>
      </c>
      <c r="G72" s="6">
        <v>0</v>
      </c>
      <c r="H72" s="14">
        <f t="shared" si="30"/>
        <v>0</v>
      </c>
      <c r="I72" s="6"/>
      <c r="J72" s="9">
        <f t="shared" si="33"/>
        <v>0</v>
      </c>
      <c r="K72" s="6"/>
      <c r="L72" s="1"/>
      <c r="M72" s="1"/>
      <c r="N72" s="1"/>
      <c r="O72" s="1"/>
      <c r="P72" s="1"/>
      <c r="Q72" s="9"/>
      <c r="R72" s="6"/>
    </row>
    <row r="73" spans="2:18" s="8" customFormat="1" ht="18" customHeight="1" outlineLevel="1" x14ac:dyDescent="0.2">
      <c r="B73" s="25">
        <v>7140</v>
      </c>
      <c r="C73" s="24" t="s">
        <v>19</v>
      </c>
      <c r="D73" s="9">
        <v>152132.6</v>
      </c>
      <c r="E73" s="6"/>
      <c r="F73" s="14">
        <f t="shared" si="29"/>
        <v>-152132.6</v>
      </c>
      <c r="G73" s="6">
        <v>312508.59000000003</v>
      </c>
      <c r="H73" s="14">
        <f t="shared" si="30"/>
        <v>160375.99000000002</v>
      </c>
      <c r="I73" s="6"/>
      <c r="J73" s="9">
        <f t="shared" si="33"/>
        <v>1166.3499999999999</v>
      </c>
      <c r="K73" s="6">
        <v>152132.6</v>
      </c>
      <c r="L73" s="1"/>
      <c r="M73" s="1">
        <v>175000</v>
      </c>
      <c r="N73" s="1"/>
      <c r="O73" s="1"/>
      <c r="P73" s="1"/>
      <c r="Q73" s="9">
        <v>1166.3499999999999</v>
      </c>
      <c r="R73" s="6"/>
    </row>
    <row r="74" spans="2:18" s="8" customFormat="1" ht="18" customHeight="1" outlineLevel="1" x14ac:dyDescent="0.2">
      <c r="B74" s="25">
        <v>7320</v>
      </c>
      <c r="C74" s="24" t="s">
        <v>82</v>
      </c>
      <c r="D74" s="9">
        <v>6585.06</v>
      </c>
      <c r="E74" s="6">
        <v>10000</v>
      </c>
      <c r="F74" s="14">
        <f t="shared" si="29"/>
        <v>3414.9399999999996</v>
      </c>
      <c r="G74" s="6">
        <v>32393.99</v>
      </c>
      <c r="H74" s="14">
        <f t="shared" si="30"/>
        <v>25808.93</v>
      </c>
      <c r="I74" s="6"/>
      <c r="J74" s="9">
        <f t="shared" si="33"/>
        <v>17375</v>
      </c>
      <c r="K74" s="6">
        <v>6585.06</v>
      </c>
      <c r="L74" s="1"/>
      <c r="M74" s="1">
        <v>5000</v>
      </c>
      <c r="N74" s="1"/>
      <c r="O74" s="1"/>
      <c r="P74" s="1"/>
      <c r="Q74" s="9">
        <v>17375</v>
      </c>
      <c r="R74" s="6"/>
    </row>
    <row r="75" spans="2:18" s="8" customFormat="1" ht="18" customHeight="1" outlineLevel="1" x14ac:dyDescent="0.2">
      <c r="B75" s="25">
        <v>7420</v>
      </c>
      <c r="C75" s="24" t="s">
        <v>98</v>
      </c>
      <c r="D75" s="9"/>
      <c r="E75" s="6">
        <v>3000</v>
      </c>
      <c r="F75" s="14">
        <f t="shared" si="29"/>
        <v>3000</v>
      </c>
      <c r="G75" s="6"/>
      <c r="H75" s="14">
        <f t="shared" si="30"/>
        <v>0</v>
      </c>
      <c r="I75" s="6"/>
      <c r="J75" s="9">
        <f t="shared" si="33"/>
        <v>0</v>
      </c>
      <c r="K75" s="6"/>
      <c r="L75" s="1"/>
      <c r="M75" s="1"/>
      <c r="N75" s="1"/>
      <c r="O75" s="1"/>
      <c r="P75" s="1"/>
      <c r="Q75" s="9"/>
      <c r="R75" s="6"/>
    </row>
    <row r="76" spans="2:18" s="8" customFormat="1" ht="18" customHeight="1" outlineLevel="1" x14ac:dyDescent="0.2">
      <c r="B76" s="25">
        <v>7430</v>
      </c>
      <c r="C76" s="24" t="s">
        <v>103</v>
      </c>
      <c r="D76" s="9"/>
      <c r="E76" s="6">
        <v>7000</v>
      </c>
      <c r="F76" s="14">
        <f t="shared" si="29"/>
        <v>7000</v>
      </c>
      <c r="G76" s="6"/>
      <c r="H76" s="14">
        <f t="shared" si="30"/>
        <v>0</v>
      </c>
      <c r="I76" s="6"/>
      <c r="J76" s="9">
        <f t="shared" si="33"/>
        <v>0</v>
      </c>
      <c r="K76" s="6"/>
      <c r="L76" s="1"/>
      <c r="M76" s="1"/>
      <c r="N76" s="1"/>
      <c r="O76" s="1"/>
      <c r="P76" s="1"/>
      <c r="Q76" s="9"/>
      <c r="R76" s="6"/>
    </row>
    <row r="77" spans="2:18" s="8" customFormat="1" ht="18" customHeight="1" outlineLevel="1" x14ac:dyDescent="0.2">
      <c r="B77" s="25">
        <v>7500</v>
      </c>
      <c r="C77" s="24" t="s">
        <v>49</v>
      </c>
      <c r="D77" s="9"/>
      <c r="E77" s="6">
        <v>500</v>
      </c>
      <c r="F77" s="14">
        <f t="shared" si="29"/>
        <v>500</v>
      </c>
      <c r="G77" s="6"/>
      <c r="H77" s="14">
        <f t="shared" si="30"/>
        <v>0</v>
      </c>
      <c r="I77" s="6"/>
      <c r="J77" s="9">
        <f t="shared" si="33"/>
        <v>0</v>
      </c>
      <c r="K77" s="6"/>
      <c r="L77" s="1"/>
      <c r="M77" s="1"/>
      <c r="N77" s="1"/>
      <c r="O77" s="1"/>
      <c r="P77" s="1"/>
      <c r="Q77" s="9"/>
      <c r="R77" s="6"/>
    </row>
    <row r="78" spans="2:18" s="8" customFormat="1" ht="18" customHeight="1" outlineLevel="1" x14ac:dyDescent="0.2">
      <c r="B78" s="25">
        <v>7770</v>
      </c>
      <c r="C78" s="24" t="s">
        <v>57</v>
      </c>
      <c r="D78" s="9">
        <v>2982.5</v>
      </c>
      <c r="E78" s="6"/>
      <c r="F78" s="14">
        <f t="shared" si="29"/>
        <v>-2982.5</v>
      </c>
      <c r="G78" s="6">
        <v>3240</v>
      </c>
      <c r="H78" s="14">
        <f t="shared" si="30"/>
        <v>257.5</v>
      </c>
      <c r="I78" s="6"/>
      <c r="J78" s="9">
        <f t="shared" si="33"/>
        <v>0</v>
      </c>
      <c r="K78" s="6">
        <v>2982.5</v>
      </c>
      <c r="L78" s="1"/>
      <c r="M78" s="1">
        <v>3000</v>
      </c>
      <c r="N78" s="1"/>
      <c r="O78" s="1"/>
      <c r="P78" s="1"/>
      <c r="Q78" s="9"/>
      <c r="R78" s="6"/>
    </row>
    <row r="79" spans="2:18" s="8" customFormat="1" ht="18" customHeight="1" outlineLevel="1" x14ac:dyDescent="0.3">
      <c r="B79" s="25">
        <v>7771</v>
      </c>
      <c r="C79" s="24" t="s">
        <v>58</v>
      </c>
      <c r="D79" s="9"/>
      <c r="E79" s="6"/>
      <c r="F79" s="14">
        <f t="shared" si="29"/>
        <v>0</v>
      </c>
      <c r="G79" s="6">
        <v>0.4</v>
      </c>
      <c r="H79" s="14">
        <f t="shared" si="30"/>
        <v>0.4</v>
      </c>
      <c r="I79" s="6"/>
      <c r="J79" s="9">
        <f t="shared" si="33"/>
        <v>0</v>
      </c>
      <c r="K79" s="6"/>
      <c r="L79" s="1"/>
      <c r="M79" s="1"/>
      <c r="N79" s="1"/>
      <c r="O79" s="1"/>
      <c r="P79" s="1"/>
      <c r="Q79" s="9"/>
      <c r="R79" s="6"/>
    </row>
    <row r="80" spans="2:18" s="8" customFormat="1" ht="18" customHeight="1" outlineLevel="1" x14ac:dyDescent="0.2">
      <c r="B80" s="25">
        <v>7772</v>
      </c>
      <c r="C80" s="24" t="s">
        <v>59</v>
      </c>
      <c r="D80" s="9">
        <v>9967.51</v>
      </c>
      <c r="E80" s="6"/>
      <c r="F80" s="14">
        <f t="shared" si="29"/>
        <v>-9967.51</v>
      </c>
      <c r="G80" s="6">
        <v>6828.24</v>
      </c>
      <c r="H80" s="14">
        <f t="shared" si="30"/>
        <v>-3139.2700000000004</v>
      </c>
      <c r="I80" s="6"/>
      <c r="J80" s="9">
        <f t="shared" si="33"/>
        <v>0</v>
      </c>
      <c r="K80" s="6">
        <v>9967.51</v>
      </c>
      <c r="L80" s="1"/>
      <c r="M80" s="1">
        <v>5000</v>
      </c>
      <c r="N80" s="1"/>
      <c r="O80" s="1"/>
      <c r="P80" s="1"/>
      <c r="Q80" s="9"/>
      <c r="R80" s="6"/>
    </row>
    <row r="81" spans="1:18" s="8" customFormat="1" ht="18" customHeight="1" outlineLevel="1" x14ac:dyDescent="0.2">
      <c r="B81" s="25">
        <v>7773</v>
      </c>
      <c r="C81" s="24" t="s">
        <v>38</v>
      </c>
      <c r="D81" s="9">
        <v>357</v>
      </c>
      <c r="E81" s="6"/>
      <c r="F81" s="14">
        <f t="shared" si="29"/>
        <v>-357</v>
      </c>
      <c r="G81" s="6"/>
      <c r="H81" s="14">
        <f t="shared" si="30"/>
        <v>-357</v>
      </c>
      <c r="I81" s="6"/>
      <c r="J81" s="9">
        <f t="shared" si="33"/>
        <v>0</v>
      </c>
      <c r="K81" s="6">
        <v>357</v>
      </c>
      <c r="L81" s="1"/>
      <c r="M81" s="1"/>
      <c r="N81" s="1"/>
      <c r="O81" s="1"/>
      <c r="P81" s="1"/>
      <c r="Q81" s="9"/>
      <c r="R81" s="6"/>
    </row>
    <row r="82" spans="1:18" s="8" customFormat="1" ht="18" customHeight="1" outlineLevel="1" x14ac:dyDescent="0.2">
      <c r="B82" s="25">
        <v>7774</v>
      </c>
      <c r="C82" s="24" t="s">
        <v>20</v>
      </c>
      <c r="D82" s="9">
        <v>13202.63</v>
      </c>
      <c r="E82" s="6"/>
      <c r="F82" s="14">
        <f t="shared" si="29"/>
        <v>-13202.63</v>
      </c>
      <c r="G82" s="6">
        <v>102.65</v>
      </c>
      <c r="H82" s="14">
        <f t="shared" si="30"/>
        <v>-13099.98</v>
      </c>
      <c r="I82" s="6"/>
      <c r="J82" s="9">
        <f t="shared" si="33"/>
        <v>749.83</v>
      </c>
      <c r="K82" s="6">
        <v>13202.63</v>
      </c>
      <c r="L82" s="1"/>
      <c r="M82" s="1"/>
      <c r="N82" s="1"/>
      <c r="O82" s="1"/>
      <c r="P82" s="1"/>
      <c r="Q82" s="9">
        <v>749.83</v>
      </c>
      <c r="R82" s="6"/>
    </row>
    <row r="83" spans="1:18" s="8" customFormat="1" ht="18" customHeight="1" outlineLevel="1" x14ac:dyDescent="0.3">
      <c r="B83" s="25">
        <v>7790</v>
      </c>
      <c r="C83" s="24" t="s">
        <v>91</v>
      </c>
      <c r="D83" s="9"/>
      <c r="E83" s="6">
        <v>500</v>
      </c>
      <c r="F83" s="14">
        <f t="shared" si="29"/>
        <v>500</v>
      </c>
      <c r="G83" s="6"/>
      <c r="H83" s="14">
        <f t="shared" si="30"/>
        <v>0</v>
      </c>
      <c r="I83" s="6"/>
      <c r="J83" s="9">
        <f t="shared" si="33"/>
        <v>0</v>
      </c>
      <c r="K83" s="6"/>
      <c r="L83" s="1"/>
      <c r="M83" s="1"/>
      <c r="N83" s="1"/>
      <c r="O83" s="1"/>
      <c r="P83" s="1"/>
      <c r="Q83" s="9"/>
      <c r="R83" s="6"/>
    </row>
    <row r="84" spans="1:18" s="8" customFormat="1" ht="18" customHeight="1" outlineLevel="1" x14ac:dyDescent="0.2">
      <c r="B84" s="25">
        <v>7798</v>
      </c>
      <c r="C84" s="24" t="s">
        <v>66</v>
      </c>
      <c r="D84" s="9">
        <v>105</v>
      </c>
      <c r="E84" s="6"/>
      <c r="F84" s="14">
        <f t="shared" si="29"/>
        <v>-105</v>
      </c>
      <c r="G84" s="6"/>
      <c r="H84" s="14">
        <f t="shared" si="30"/>
        <v>-105</v>
      </c>
      <c r="I84" s="6"/>
      <c r="J84" s="9">
        <f t="shared" si="33"/>
        <v>0</v>
      </c>
      <c r="K84" s="6">
        <v>105</v>
      </c>
      <c r="L84" s="1"/>
      <c r="M84" s="1"/>
      <c r="N84" s="1"/>
      <c r="O84" s="1"/>
      <c r="P84" s="1"/>
      <c r="Q84" s="9"/>
      <c r="R84" s="6"/>
    </row>
    <row r="85" spans="1:18" s="8" customFormat="1" ht="18" customHeight="1" outlineLevel="1" x14ac:dyDescent="0.2">
      <c r="B85" s="25">
        <v>7799</v>
      </c>
      <c r="C85" s="24" t="s">
        <v>72</v>
      </c>
      <c r="D85" s="9">
        <v>531.82000000000005</v>
      </c>
      <c r="E85" s="6"/>
      <c r="F85" s="14">
        <f t="shared" si="29"/>
        <v>-531.82000000000005</v>
      </c>
      <c r="G85" s="6"/>
      <c r="H85" s="14">
        <f t="shared" si="30"/>
        <v>-531.82000000000005</v>
      </c>
      <c r="I85" s="6"/>
      <c r="J85" s="9">
        <f t="shared" si="33"/>
        <v>0</v>
      </c>
      <c r="K85" s="6">
        <v>531.82000000000005</v>
      </c>
      <c r="L85" s="1"/>
      <c r="M85" s="1"/>
      <c r="N85" s="1"/>
      <c r="O85" s="1"/>
      <c r="P85" s="1"/>
      <c r="Q85" s="9"/>
      <c r="R85" s="6"/>
    </row>
    <row r="86" spans="1:18" s="18" customFormat="1" ht="18" customHeight="1" x14ac:dyDescent="0.35">
      <c r="B86" s="20" t="s">
        <v>50</v>
      </c>
      <c r="C86" s="23"/>
      <c r="D86" s="5">
        <f t="shared" ref="D86:E86" si="34">SUM(D54:D85)</f>
        <v>356555.88</v>
      </c>
      <c r="E86" s="3">
        <f t="shared" si="34"/>
        <v>391000</v>
      </c>
      <c r="F86" s="11">
        <f>E86-D86</f>
        <v>34444.119999999995</v>
      </c>
      <c r="G86" s="3">
        <f>SUM(G54:G85)</f>
        <v>486483.75000000006</v>
      </c>
      <c r="H86" s="11">
        <f>IFERROR(G86-D86,0)</f>
        <v>129927.87000000005</v>
      </c>
      <c r="I86" s="3"/>
      <c r="J86" s="5">
        <f t="shared" ref="J86:K86" si="35">SUM(J54:J85)</f>
        <v>28636.080000000002</v>
      </c>
      <c r="K86" s="3">
        <f t="shared" si="35"/>
        <v>356555.88</v>
      </c>
      <c r="L86" s="2"/>
      <c r="M86" s="54">
        <f>SUM(M54:M85)</f>
        <v>296600</v>
      </c>
      <c r="N86" s="2"/>
      <c r="O86" s="2"/>
      <c r="P86" s="2"/>
      <c r="Q86" s="5">
        <f t="shared" ref="Q86:R86" si="36">SUM(Q54:Q85)</f>
        <v>28636.080000000002</v>
      </c>
      <c r="R86" s="3">
        <f t="shared" si="36"/>
        <v>0</v>
      </c>
    </row>
    <row r="87" spans="1:18" s="21" customFormat="1" ht="6" customHeight="1" x14ac:dyDescent="0.2">
      <c r="A87" s="8"/>
      <c r="F87" s="13"/>
      <c r="H87" s="13"/>
    </row>
    <row r="88" spans="1:18" s="8" customFormat="1" ht="23.1" customHeight="1" x14ac:dyDescent="0.2">
      <c r="B88" s="19" t="s">
        <v>15</v>
      </c>
      <c r="C88" s="22"/>
      <c r="D88" s="7">
        <f t="shared" ref="D88:G88" si="37">D52+D53+D86</f>
        <v>1746235.7600000002</v>
      </c>
      <c r="E88" s="4">
        <f t="shared" si="37"/>
        <v>1692000</v>
      </c>
      <c r="F88" s="10">
        <f t="shared" si="37"/>
        <v>-54235.760000000126</v>
      </c>
      <c r="G88" s="4">
        <f t="shared" si="37"/>
        <v>1696273.4900000002</v>
      </c>
      <c r="H88" s="10">
        <f>IFERROR(G88-D88,0)</f>
        <v>-49962.270000000019</v>
      </c>
      <c r="I88" s="4"/>
      <c r="J88" s="7">
        <f t="shared" ref="J88:K88" si="38">J52+J53+J86</f>
        <v>335454.07</v>
      </c>
      <c r="K88" s="7">
        <f t="shared" si="38"/>
        <v>1746235.7600000002</v>
      </c>
      <c r="L88" s="1"/>
      <c r="M88" s="1"/>
      <c r="N88" s="1"/>
      <c r="O88" s="1"/>
      <c r="P88" s="1"/>
      <c r="Q88" s="7">
        <f t="shared" ref="Q88:R88" si="39">Q52+Q53+Q86</f>
        <v>335454.07</v>
      </c>
      <c r="R88" s="4">
        <f t="shared" si="39"/>
        <v>0</v>
      </c>
    </row>
    <row r="89" spans="1:18" s="21" customFormat="1" ht="6" customHeight="1" x14ac:dyDescent="0.2">
      <c r="A89" s="8"/>
      <c r="F89" s="13"/>
      <c r="H89" s="13"/>
    </row>
    <row r="90" spans="1:18" s="8" customFormat="1" ht="23.1" customHeight="1" x14ac:dyDescent="0.4">
      <c r="B90" s="19" t="s">
        <v>60</v>
      </c>
      <c r="C90" s="22"/>
      <c r="D90" s="7">
        <f t="shared" ref="D90:G90" si="40">D36+D88</f>
        <v>1905554.2400000002</v>
      </c>
      <c r="E90" s="4">
        <f t="shared" si="40"/>
        <v>1863000</v>
      </c>
      <c r="F90" s="10">
        <f t="shared" si="40"/>
        <v>-42554.240000000136</v>
      </c>
      <c r="G90" s="4">
        <f t="shared" si="40"/>
        <v>1842492.0000000002</v>
      </c>
      <c r="H90" s="10">
        <f>IFERROR(G90-D90,0)</f>
        <v>-63062.239999999991</v>
      </c>
      <c r="I90" s="4"/>
      <c r="J90" s="7">
        <f t="shared" ref="J90:K90" si="41">J53+J86+J88</f>
        <v>364090.15</v>
      </c>
      <c r="K90" s="7">
        <f t="shared" si="41"/>
        <v>2102791.64</v>
      </c>
      <c r="L90" s="1"/>
      <c r="M90" s="55">
        <f>M37+M52+M86</f>
        <v>1365787</v>
      </c>
      <c r="N90" s="1"/>
      <c r="O90" s="1"/>
      <c r="P90" s="1"/>
      <c r="Q90" s="7">
        <f t="shared" ref="Q90:R90" si="42">Q53+Q86+Q88</f>
        <v>364090.15</v>
      </c>
      <c r="R90" s="4">
        <f t="shared" si="42"/>
        <v>0</v>
      </c>
    </row>
    <row r="91" spans="1:18" s="21" customFormat="1" ht="6" customHeight="1" thickBot="1" x14ac:dyDescent="0.35">
      <c r="A91" s="8"/>
      <c r="F91" s="13"/>
      <c r="H91" s="13"/>
    </row>
    <row r="92" spans="1:18" s="8" customFormat="1" ht="23.1" customHeight="1" thickBot="1" x14ac:dyDescent="0.45">
      <c r="B92" s="19" t="s">
        <v>93</v>
      </c>
      <c r="C92" s="22"/>
      <c r="D92" s="7">
        <f t="shared" ref="D92:G92" si="43">D37-D88</f>
        <v>-223191.69000000041</v>
      </c>
      <c r="E92" s="4">
        <f t="shared" si="43"/>
        <v>44000</v>
      </c>
      <c r="F92" s="10">
        <f t="shared" si="43"/>
        <v>-158720.17000000004</v>
      </c>
      <c r="G92" s="4">
        <f t="shared" si="43"/>
        <v>109509.60999999964</v>
      </c>
      <c r="H92" s="10">
        <f>IFERROR(D92-G92,0)</f>
        <v>-332701.30000000005</v>
      </c>
      <c r="I92" s="4"/>
      <c r="J92" s="7">
        <f t="shared" ref="J92:K92" si="44">J37-J88</f>
        <v>126741.93</v>
      </c>
      <c r="K92" s="4">
        <f t="shared" si="44"/>
        <v>-223191.69000000041</v>
      </c>
      <c r="L92" s="1"/>
      <c r="M92" s="56">
        <f>M29-M90</f>
        <v>99213</v>
      </c>
      <c r="N92" s="1"/>
      <c r="O92" s="1"/>
      <c r="P92" s="1"/>
      <c r="Q92" s="7">
        <f t="shared" ref="Q92:R92" si="45">Q37-Q88</f>
        <v>126741.93</v>
      </c>
      <c r="R92" s="4">
        <f t="shared" si="45"/>
        <v>0</v>
      </c>
    </row>
    <row r="93" spans="1:18" s="21" customFormat="1" ht="6" customHeight="1" x14ac:dyDescent="0.3">
      <c r="A93" s="8"/>
      <c r="F93" s="13"/>
      <c r="H93" s="13"/>
    </row>
    <row r="94" spans="1:18" s="18" customFormat="1" ht="18" customHeight="1" x14ac:dyDescent="0.2">
      <c r="B94" s="20" t="s">
        <v>39</v>
      </c>
      <c r="C94" s="23"/>
      <c r="D94" s="5">
        <f t="shared" ref="D94:E94" si="46">SUM(0)</f>
        <v>0</v>
      </c>
      <c r="E94" s="3">
        <f t="shared" si="46"/>
        <v>0</v>
      </c>
      <c r="F94" s="11">
        <f>D94-E94</f>
        <v>0</v>
      </c>
      <c r="G94" s="3">
        <f>SUM(0)</f>
        <v>0</v>
      </c>
      <c r="H94" s="11">
        <f>IFERROR(D94-G94,0)</f>
        <v>0</v>
      </c>
      <c r="I94" s="3"/>
      <c r="J94" s="5">
        <f t="shared" ref="J94:K94" si="47">SUM(0)</f>
        <v>0</v>
      </c>
      <c r="K94" s="3">
        <f t="shared" si="47"/>
        <v>0</v>
      </c>
      <c r="L94" s="2"/>
      <c r="M94" s="2"/>
      <c r="N94" s="2"/>
      <c r="O94" s="2"/>
      <c r="P94" s="2"/>
      <c r="Q94" s="5">
        <f t="shared" ref="Q94:R94" si="48">SUM(0)</f>
        <v>0</v>
      </c>
      <c r="R94" s="3">
        <f t="shared" si="48"/>
        <v>0</v>
      </c>
    </row>
    <row r="95" spans="1:18" s="8" customFormat="1" ht="18" hidden="1" customHeight="1" outlineLevel="1" x14ac:dyDescent="0.2">
      <c r="B95" s="25">
        <v>8150</v>
      </c>
      <c r="C95" s="24" t="s">
        <v>21</v>
      </c>
      <c r="D95" s="9">
        <v>377.24</v>
      </c>
      <c r="E95" s="6"/>
      <c r="F95" s="14">
        <f t="shared" ref="F95:F96" si="49">E95-D95</f>
        <v>-377.24</v>
      </c>
      <c r="G95" s="6"/>
      <c r="H95" s="14">
        <f t="shared" ref="H95:H96" si="50">IFERROR(G95-D95,0)</f>
        <v>-377.24</v>
      </c>
      <c r="I95" s="6"/>
      <c r="J95" s="9">
        <f>Q95+R95</f>
        <v>0</v>
      </c>
      <c r="K95" s="6">
        <v>377.24</v>
      </c>
      <c r="L95" s="1"/>
      <c r="M95" s="1"/>
      <c r="N95" s="1"/>
      <c r="O95" s="1"/>
      <c r="P95" s="1"/>
      <c r="Q95" s="9"/>
      <c r="R95" s="6"/>
    </row>
    <row r="96" spans="1:18" s="18" customFormat="1" ht="18" customHeight="1" collapsed="1" x14ac:dyDescent="0.2">
      <c r="B96" s="20" t="s">
        <v>35</v>
      </c>
      <c r="C96" s="23"/>
      <c r="D96" s="5">
        <f t="shared" ref="D96:E96" si="51">SUM(D95)</f>
        <v>377.24</v>
      </c>
      <c r="E96" s="3">
        <f t="shared" si="51"/>
        <v>0</v>
      </c>
      <c r="F96" s="11">
        <f t="shared" si="49"/>
        <v>-377.24</v>
      </c>
      <c r="G96" s="3">
        <f>SUM(G95)</f>
        <v>0</v>
      </c>
      <c r="H96" s="11">
        <f t="shared" si="50"/>
        <v>-377.24</v>
      </c>
      <c r="I96" s="3"/>
      <c r="J96" s="5">
        <f t="shared" ref="J96:K96" si="52">SUM(J95)</f>
        <v>0</v>
      </c>
      <c r="K96" s="3">
        <f t="shared" si="52"/>
        <v>377.24</v>
      </c>
      <c r="L96" s="2"/>
      <c r="M96" s="2"/>
      <c r="N96" s="2"/>
      <c r="O96" s="2"/>
      <c r="P96" s="2"/>
      <c r="Q96" s="5">
        <f t="shared" ref="Q96:R96" si="53">SUM(Q95)</f>
        <v>0</v>
      </c>
      <c r="R96" s="3">
        <f t="shared" si="53"/>
        <v>0</v>
      </c>
    </row>
    <row r="97" spans="1:27" s="8" customFormat="1" ht="23.1" customHeight="1" x14ac:dyDescent="0.3">
      <c r="B97" s="19" t="s">
        <v>22</v>
      </c>
      <c r="C97" s="22"/>
      <c r="D97" s="7">
        <f t="shared" ref="D97:E97" si="54">D92+D94-D96</f>
        <v>-223568.9300000004</v>
      </c>
      <c r="E97" s="4">
        <f t="shared" si="54"/>
        <v>44000</v>
      </c>
      <c r="F97" s="10">
        <f>D97-E97</f>
        <v>-267568.9300000004</v>
      </c>
      <c r="G97" s="4">
        <f>G92+G94-G96</f>
        <v>109509.60999999964</v>
      </c>
      <c r="H97" s="10">
        <f>IFERROR(D97-G97,0)</f>
        <v>-333078.54000000004</v>
      </c>
      <c r="I97" s="4"/>
      <c r="J97" s="7">
        <f t="shared" ref="J97:K97" si="55">J92+J94-J96</f>
        <v>126741.93</v>
      </c>
      <c r="K97" s="4">
        <f t="shared" si="55"/>
        <v>-223568.9300000004</v>
      </c>
      <c r="L97" s="1"/>
      <c r="M97" s="1"/>
      <c r="N97" s="1"/>
      <c r="O97" s="1"/>
      <c r="P97" s="1"/>
      <c r="Q97" s="7">
        <f t="shared" ref="Q97:R97" si="56">Q92+Q94-Q96</f>
        <v>126741.93</v>
      </c>
      <c r="R97" s="4">
        <f t="shared" si="56"/>
        <v>0</v>
      </c>
      <c r="Z97" s="8" t="s">
        <v>6</v>
      </c>
      <c r="AA97" s="8" t="s">
        <v>6</v>
      </c>
    </row>
    <row r="98" spans="1:27" s="18" customFormat="1" ht="18" customHeight="1" x14ac:dyDescent="0.35">
      <c r="B98" s="20" t="s">
        <v>85</v>
      </c>
      <c r="C98" s="23"/>
      <c r="D98" s="5">
        <f t="shared" ref="D98:E98" si="57">SUM(0)</f>
        <v>0</v>
      </c>
      <c r="E98" s="3">
        <f t="shared" si="57"/>
        <v>0</v>
      </c>
      <c r="F98" s="11">
        <f>E98-D98</f>
        <v>0</v>
      </c>
      <c r="G98" s="3">
        <f>SUM(0)</f>
        <v>0</v>
      </c>
      <c r="H98" s="11">
        <f>IFERROR(G98-D98,0)</f>
        <v>0</v>
      </c>
      <c r="I98" s="3"/>
      <c r="J98" s="5">
        <f t="shared" ref="J98:K98" si="58">SUM(0)</f>
        <v>0</v>
      </c>
      <c r="K98" s="3">
        <f t="shared" si="58"/>
        <v>0</v>
      </c>
      <c r="L98" s="2"/>
      <c r="M98" s="2"/>
      <c r="N98" s="2"/>
      <c r="O98" s="2"/>
      <c r="P98" s="2"/>
      <c r="Q98" s="5">
        <f t="shared" ref="Q98:R98" si="59">SUM(0)</f>
        <v>0</v>
      </c>
      <c r="R98" s="3">
        <f t="shared" si="59"/>
        <v>0</v>
      </c>
    </row>
    <row r="99" spans="1:27" s="8" customFormat="1" ht="23.1" customHeight="1" x14ac:dyDescent="0.3">
      <c r="B99" s="19" t="s">
        <v>75</v>
      </c>
      <c r="C99" s="22"/>
      <c r="D99" s="7">
        <f t="shared" ref="D99:E99" si="60">D97-D98</f>
        <v>-223568.9300000004</v>
      </c>
      <c r="E99" s="4">
        <f t="shared" si="60"/>
        <v>44000</v>
      </c>
      <c r="F99" s="10">
        <f>D99-E99</f>
        <v>-267568.9300000004</v>
      </c>
      <c r="G99" s="4">
        <f>G97-G98</f>
        <v>109509.60999999964</v>
      </c>
      <c r="H99" s="10">
        <f>IFERROR(D99-G99,0)</f>
        <v>-333078.54000000004</v>
      </c>
      <c r="I99" s="4"/>
      <c r="J99" s="7">
        <f t="shared" ref="J99:K99" si="61">J94+J97-J98</f>
        <v>126741.93</v>
      </c>
      <c r="K99" s="4">
        <f t="shared" si="61"/>
        <v>-223568.9300000004</v>
      </c>
      <c r="L99" s="1"/>
      <c r="M99" s="1"/>
      <c r="N99" s="1"/>
      <c r="O99" s="1"/>
      <c r="P99" s="1"/>
      <c r="Q99" s="7">
        <f t="shared" ref="Q99:R99" si="62">Q94+Q97-Q98</f>
        <v>126741.93</v>
      </c>
      <c r="R99" s="4">
        <f t="shared" si="62"/>
        <v>0</v>
      </c>
      <c r="Z99" s="8" t="s">
        <v>6</v>
      </c>
      <c r="AA99" s="8" t="s">
        <v>6</v>
      </c>
    </row>
    <row r="101" spans="1:27" ht="18" customHeight="1" x14ac:dyDescent="0.25">
      <c r="B101" s="46" t="s">
        <v>104</v>
      </c>
      <c r="D101" s="5">
        <f>T101+D102-D103+Z102</f>
        <v>-385982.58</v>
      </c>
      <c r="E101" s="5"/>
      <c r="F101" s="5"/>
      <c r="G101" s="5">
        <f>W101-G103+G102+AA102</f>
        <v>-495492.19</v>
      </c>
      <c r="H101" s="5"/>
      <c r="I101" s="5"/>
      <c r="J101" s="5"/>
      <c r="K101" s="5">
        <f>X101-K103+K102</f>
        <v>-385982.57999999961</v>
      </c>
      <c r="T101">
        <f t="array" ref="T101">-385982.58</f>
        <v>-385982.58</v>
      </c>
      <c r="U101">
        <f t="array" ref="U101">-495492.19</f>
        <v>-495492.19</v>
      </c>
      <c r="V101">
        <f t="array" ref="V101">--109509.61</f>
        <v>109509.61</v>
      </c>
      <c r="W101">
        <f>U101+V101</f>
        <v>-385982.58</v>
      </c>
      <c r="X101">
        <f t="array" ref="X101">-385982.58</f>
        <v>-385982.58</v>
      </c>
      <c r="Y101">
        <f t="array" ref="Y101">0</f>
        <v>0</v>
      </c>
    </row>
    <row r="102" spans="1:27" ht="20.25" hidden="1" customHeight="1" x14ac:dyDescent="0.25">
      <c r="B102" s="46"/>
      <c r="D102" s="5">
        <f t="array" ref="D102">-223568.93</f>
        <v>-223568.93</v>
      </c>
      <c r="E102" s="5"/>
      <c r="F102" s="5"/>
      <c r="G102" s="5">
        <f t="array" ref="G102">0</f>
        <v>0</v>
      </c>
      <c r="H102" s="5"/>
      <c r="I102" s="5"/>
      <c r="J102" s="5"/>
      <c r="K102" s="5">
        <f t="array" ref="K102">-223568.93</f>
        <v>-223568.93</v>
      </c>
      <c r="Z102">
        <f t="array" ref="Z102">0</f>
        <v>0</v>
      </c>
      <c r="AA102">
        <f t="array" ref="AA102">0</f>
        <v>0</v>
      </c>
    </row>
    <row r="103" spans="1:27" ht="18" customHeight="1" x14ac:dyDescent="0.35">
      <c r="B103" s="46" t="s">
        <v>95</v>
      </c>
      <c r="D103" s="5">
        <f t="array" ref="D103">-223568.93</f>
        <v>-223568.93</v>
      </c>
      <c r="E103" s="5">
        <f t="array" ref="E103">--44000</f>
        <v>44000</v>
      </c>
      <c r="F103" s="5"/>
      <c r="G103" s="5">
        <f t="array" ref="G103">--109509.61</f>
        <v>109509.61</v>
      </c>
      <c r="H103" s="5"/>
      <c r="I103" s="5"/>
      <c r="J103" s="5"/>
      <c r="K103" s="5">
        <f>K97</f>
        <v>-223568.9300000004</v>
      </c>
    </row>
    <row r="104" spans="1:27" ht="18" customHeight="1" x14ac:dyDescent="0.35">
      <c r="B104" s="46" t="s">
        <v>105</v>
      </c>
      <c r="D104" s="5">
        <f>D101+D103</f>
        <v>-609551.51</v>
      </c>
      <c r="E104" s="5"/>
      <c r="F104" s="5"/>
      <c r="G104" s="5">
        <f>G101+G103</f>
        <v>-385982.58</v>
      </c>
      <c r="H104" s="5"/>
      <c r="I104" s="5"/>
      <c r="J104" s="5"/>
      <c r="K104" s="5">
        <f>K101+K103</f>
        <v>-609551.51</v>
      </c>
    </row>
    <row r="105" spans="1:27" ht="18" customHeight="1" x14ac:dyDescent="0.35">
      <c r="B105" s="46"/>
      <c r="D105" s="5"/>
      <c r="E105" s="5"/>
      <c r="F105" s="5"/>
      <c r="G105" s="5"/>
      <c r="H105" s="5"/>
      <c r="I105" s="5"/>
      <c r="J105" s="5"/>
      <c r="K105" s="5"/>
    </row>
    <row r="106" spans="1:27" ht="18" customHeight="1" x14ac:dyDescent="0.35">
      <c r="B106" s="46" t="s">
        <v>1</v>
      </c>
      <c r="D106" s="5"/>
      <c r="E106" s="5"/>
      <c r="F106" s="5"/>
      <c r="G106" s="5"/>
      <c r="H106" s="5"/>
      <c r="I106" s="5"/>
      <c r="J106" s="5"/>
      <c r="K106" s="5"/>
    </row>
    <row r="107" spans="1:27" s="29" customFormat="1" ht="30" customHeight="1" x14ac:dyDescent="0.4">
      <c r="A107" s="8"/>
      <c r="B107" s="41" t="s">
        <v>92</v>
      </c>
      <c r="C107" s="34"/>
      <c r="D107" s="27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27"/>
      <c r="R107" s="27"/>
    </row>
    <row r="108" spans="1:27" s="29" customFormat="1" ht="6" customHeight="1" x14ac:dyDescent="0.35">
      <c r="A108" s="8"/>
      <c r="B108" s="42"/>
      <c r="C108" s="34"/>
      <c r="D108" s="27"/>
      <c r="E108" s="27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27"/>
      <c r="R108" s="27"/>
    </row>
    <row r="109" spans="1:27" s="8" customFormat="1" ht="18" customHeight="1" x14ac:dyDescent="0.3">
      <c r="B109" s="39" t="s">
        <v>43</v>
      </c>
      <c r="C109" s="43"/>
      <c r="D109" s="17">
        <f t="shared" ref="D109:E109" si="63">D37-D52-D86</f>
        <v>-223191.69000000029</v>
      </c>
      <c r="E109" s="17">
        <f t="shared" si="63"/>
        <v>44000</v>
      </c>
      <c r="F109" s="17"/>
      <c r="G109" s="17">
        <f>G37-G52-G86</f>
        <v>109509.60999999958</v>
      </c>
      <c r="H109" s="17"/>
      <c r="I109" s="48"/>
      <c r="J109" s="17">
        <f t="shared" ref="J109:K109" si="64">J37-J52-J86</f>
        <v>126741.93000000001</v>
      </c>
      <c r="K109" s="17">
        <f t="shared" si="64"/>
        <v>-223191.69000000029</v>
      </c>
      <c r="L109" s="1"/>
      <c r="M109" s="1"/>
      <c r="N109" s="1"/>
      <c r="O109" s="1"/>
      <c r="P109" s="1"/>
      <c r="Q109" s="16">
        <f t="shared" ref="Q109:R109" si="65">IFERROR(Q37/Q29,0)</f>
        <v>0.9478396574458966</v>
      </c>
      <c r="R109" s="16">
        <f t="shared" si="65"/>
        <v>0</v>
      </c>
    </row>
    <row r="110" spans="1:27" s="8" customFormat="1" ht="18" customHeight="1" x14ac:dyDescent="0.3">
      <c r="B110" s="39" t="s">
        <v>67</v>
      </c>
      <c r="C110" s="43"/>
      <c r="D110" s="16">
        <f t="shared" ref="D110:E110" si="66">IFERROR(D109/D29,"")</f>
        <v>-0.13266563143598287</v>
      </c>
      <c r="E110" s="16">
        <f t="shared" si="66"/>
        <v>2.3072889355007866E-2</v>
      </c>
      <c r="F110" s="16"/>
      <c r="G110" s="16">
        <f>IFERROR(G109/G29,"")</f>
        <v>5.6101188359163078E-2</v>
      </c>
      <c r="H110" s="16"/>
      <c r="I110" s="47"/>
      <c r="J110" s="16">
        <f t="shared" ref="J110:K110" si="67">IFERROR(J109/J29,"")</f>
        <v>0.25991360270368374</v>
      </c>
      <c r="K110" s="16">
        <f t="shared" si="67"/>
        <v>-0.13266563143598287</v>
      </c>
      <c r="L110" s="1"/>
      <c r="M110" s="1"/>
      <c r="N110" s="1"/>
      <c r="O110" s="1"/>
      <c r="P110" s="1"/>
      <c r="Q110" s="16"/>
      <c r="R110" s="16"/>
    </row>
    <row r="111" spans="1:27" s="8" customFormat="1" ht="18.600000000000001" customHeight="1" x14ac:dyDescent="0.3">
      <c r="B111" s="39" t="s">
        <v>13</v>
      </c>
      <c r="C111" s="43"/>
      <c r="D111" s="16">
        <f t="shared" ref="D111:E111" si="68">IFERROR(D97/D29,0)</f>
        <v>-0.13288986372170519</v>
      </c>
      <c r="E111" s="16">
        <f t="shared" si="68"/>
        <v>2.3072889355007866E-2</v>
      </c>
      <c r="F111" s="16"/>
      <c r="G111" s="16">
        <f>IFERROR(G97/G29,0)</f>
        <v>5.6101188359163105E-2</v>
      </c>
      <c r="H111" s="16"/>
      <c r="I111" s="47"/>
      <c r="J111" s="16">
        <f t="shared" ref="J111:K111" si="69">IFERROR(J97/J29,0)</f>
        <v>0.25991360270368369</v>
      </c>
      <c r="K111" s="16">
        <f t="shared" si="69"/>
        <v>-0.13288986372170519</v>
      </c>
      <c r="L111" s="1"/>
      <c r="M111" s="1"/>
      <c r="N111" s="1"/>
      <c r="O111" s="1"/>
      <c r="P111" s="1"/>
      <c r="Q111" s="16">
        <f t="shared" ref="Q111:R111" si="70">IFERROR(Q97/Q29,0)</f>
        <v>0.25991360270368369</v>
      </c>
      <c r="R111" s="16">
        <f t="shared" si="70"/>
        <v>0</v>
      </c>
    </row>
    <row r="112" spans="1:27" s="8" customFormat="1" ht="30" customHeight="1" x14ac:dyDescent="0.3">
      <c r="B112" s="21"/>
    </row>
    <row r="123" spans="2:3" hidden="1" x14ac:dyDescent="0.25">
      <c r="B123">
        <v>1</v>
      </c>
      <c r="C123" t="s">
        <v>51</v>
      </c>
    </row>
    <row r="124" spans="2:3" hidden="1" x14ac:dyDescent="0.25">
      <c r="B124">
        <v>2</v>
      </c>
      <c r="C124" t="s">
        <v>52</v>
      </c>
    </row>
    <row r="125" spans="2:3" hidden="1" x14ac:dyDescent="0.25">
      <c r="B125">
        <v>3</v>
      </c>
      <c r="C125" t="s">
        <v>5</v>
      </c>
    </row>
    <row r="126" spans="2:3" hidden="1" x14ac:dyDescent="0.25">
      <c r="B126">
        <v>4</v>
      </c>
      <c r="C126" t="s">
        <v>44</v>
      </c>
    </row>
    <row r="127" spans="2:3" hidden="1" x14ac:dyDescent="0.25">
      <c r="B127">
        <v>5</v>
      </c>
      <c r="C127" t="s">
        <v>83</v>
      </c>
    </row>
    <row r="128" spans="2:3" hidden="1" x14ac:dyDescent="0.25">
      <c r="B128">
        <v>6</v>
      </c>
      <c r="C128" t="s">
        <v>84</v>
      </c>
    </row>
    <row r="129" spans="2:3" hidden="1" x14ac:dyDescent="0.25">
      <c r="B129">
        <v>7</v>
      </c>
      <c r="C129" t="s">
        <v>23</v>
      </c>
    </row>
    <row r="130" spans="2:3" hidden="1" x14ac:dyDescent="0.25">
      <c r="B130">
        <v>8</v>
      </c>
      <c r="C130" t="s">
        <v>45</v>
      </c>
    </row>
    <row r="131" spans="2:3" hidden="1" x14ac:dyDescent="0.25">
      <c r="B131">
        <v>9</v>
      </c>
      <c r="C131" t="s">
        <v>68</v>
      </c>
    </row>
    <row r="132" spans="2:3" hidden="1" x14ac:dyDescent="0.25">
      <c r="B132">
        <v>10</v>
      </c>
      <c r="C132" t="s">
        <v>24</v>
      </c>
    </row>
    <row r="133" spans="2:3" hidden="1" x14ac:dyDescent="0.25">
      <c r="B133">
        <v>11</v>
      </c>
      <c r="C133" t="s">
        <v>30</v>
      </c>
    </row>
    <row r="134" spans="2:3" hidden="1" x14ac:dyDescent="0.25">
      <c r="B134">
        <v>12</v>
      </c>
      <c r="C134" t="s">
        <v>94</v>
      </c>
    </row>
  </sheetData>
  <mergeCells count="2">
    <mergeCell ref="B9:C9"/>
    <mergeCell ref="D9:H9"/>
  </mergeCells>
  <conditionalFormatting sqref="D12:K28 D30:K35 D39:K51 D54:K85 D95:K95 Q12:R28 Q30:R35 Q39:R51 Q54:R85 Q95:R95">
    <cfRule type="cellIs" dxfId="1" priority="37" operator="lessThan">
      <formula>0</formula>
    </cfRule>
  </conditionalFormatting>
  <conditionalFormatting sqref="D29:K29 D36:K37 D52:K53 D86:K86 D88:K88 D90:K90 D92:K92 D94:K94 D96:K99 D101:K106 Q29:R29 Q36:R37 Q52:R53 Q86:R86 Q88:R88 Q90:R90 Q92:R92 Q94:R94 Q96:R99">
    <cfRule type="cellIs" dxfId="0" priority="1" operator="lessThan">
      <formula>0</formula>
    </cfRule>
  </conditionalFormatting>
  <pageMargins left="0.7" right="0.7" top="0.75" bottom="0.75" header="0.3" footer="0.3"/>
  <pageSetup paperSize="9" scale="65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94EB-A6C3-4374-B1AB-6B41F85765C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1C1F0B56C4264EB194DD8CB6DF89E7" ma:contentTypeVersion="16" ma:contentTypeDescription="Opprett et nytt dokument." ma:contentTypeScope="" ma:versionID="012ab97b38d96463a97e78b3319d380e">
  <xsd:schema xmlns:xsd="http://www.w3.org/2001/XMLSchema" xmlns:xs="http://www.w3.org/2001/XMLSchema" xmlns:p="http://schemas.microsoft.com/office/2006/metadata/properties" xmlns:ns2="87e0080e-7b1d-4c08-be6e-3d58156e985a" xmlns:ns3="2437c439-00bc-4286-9ded-3b44bcd22ea8" targetNamespace="http://schemas.microsoft.com/office/2006/metadata/properties" ma:root="true" ma:fieldsID="417513724fe99eca2aadd0c6f25cc865" ns2:_="" ns3:_="">
    <xsd:import namespace="87e0080e-7b1d-4c08-be6e-3d58156e985a"/>
    <xsd:import namespace="2437c439-00bc-4286-9ded-3b44bcd22e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0080e-7b1d-4c08-be6e-3d58156e98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1d15df-7e55-4fb6-8155-57cda05b3bef}" ma:internalName="TaxCatchAll" ma:showField="CatchAllData" ma:web="87e0080e-7b1d-4c08-be6e-3d58156e98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7c439-00bc-4286-9ded-3b44bcd22e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b32ca795-df1a-4765-aeda-240c9475d4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130B2B-D2F1-4F1C-820C-62B21DF486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1C95FE-6C48-4099-B477-EE161ABDE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0080e-7b1d-4c08-be6e-3d58156e985a"/>
    <ds:schemaRef ds:uri="2437c439-00bc-4286-9ded-3b44bcd22e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</vt:i4>
      </vt:variant>
    </vt:vector>
  </HeadingPairs>
  <TitlesOfParts>
    <vt:vector size="4" baseType="lpstr">
      <vt:lpstr>Avdelinger</vt:lpstr>
      <vt:lpstr>Ark1</vt:lpstr>
      <vt:lpstr>Avdelinger!OSR_GearWriter_0</vt:lpstr>
      <vt:lpstr>Avdelinger!OSR_GearWriter_1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Meltvedt</dc:creator>
  <cp:lastModifiedBy>Marianne Holen</cp:lastModifiedBy>
  <dcterms:created xsi:type="dcterms:W3CDTF">2023-02-28T06:34:15Z</dcterms:created>
  <dcterms:modified xsi:type="dcterms:W3CDTF">2023-03-01T13:17:32Z</dcterms:modified>
</cp:coreProperties>
</file>