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ssel Smedby\Documents\RIL Hovedstyret\2023\Årsmøte mars 2023\Til årsmøte og hjemmesiden\Versjon 14.03.23\"/>
    </mc:Choice>
  </mc:AlternateContent>
  <xr:revisionPtr revIDLastSave="0" documentId="8_{5F6BE142-81C2-4742-B241-A74F98474D26}" xr6:coauthVersionLast="47" xr6:coauthVersionMax="47" xr10:uidLastSave="{00000000-0000-0000-0000-000000000000}"/>
  <workbookProtection workbookAlgorithmName="SHA-512" workbookHashValue="rrmD9p6TGRlK9Cgx0V6wzfoyrGDWymfENV8ZTHxajfwhryQ68xDr7oOZkdtaTYc0OQvg/VyOWF5EWmXrX3Apeg==" workbookSaltValue="h/0TGJWsQaX82jCqYXG+DA==" workbookSpinCount="100000" lockStructure="1"/>
  <bookViews>
    <workbookView xWindow="-108" yWindow="-108" windowWidth="23256" windowHeight="12456" xr2:uid="{00000000-000D-0000-FFFF-FFFF00000000}"/>
  </bookViews>
  <sheets>
    <sheet name="Totalregnskap" sheetId="11" r:id="rId1"/>
    <sheet name="Balanse 31.12.22" sheetId="13" r:id="rId2"/>
    <sheet name="Styret avd 10" sheetId="9" r:id="rId3"/>
    <sheet name="Turn avd 20" sheetId="8" r:id="rId4"/>
    <sheet name="Håndball avd 30" sheetId="7" r:id="rId5"/>
    <sheet name="fotball avd 40" sheetId="6" r:id="rId6"/>
    <sheet name="Aerobic avd 50" sheetId="5" r:id="rId7"/>
    <sheet name="Hallen avd 60" sheetId="4" r:id="rId8"/>
    <sheet name="O og trim avd 70" sheetId="12" r:id="rId9"/>
    <sheet name="Sykkel avd 80" sheetId="3" r:id="rId10"/>
    <sheet name="Dans avd 90" sheetId="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 l="1"/>
  <c r="F6" i="6"/>
  <c r="B46" i="13" l="1"/>
  <c r="G42" i="13"/>
  <c r="C35" i="3"/>
  <c r="E6" i="6"/>
  <c r="C6" i="6"/>
  <c r="C17" i="6"/>
  <c r="C30" i="9"/>
  <c r="C13" i="9"/>
  <c r="C6" i="9"/>
  <c r="C22" i="9" s="1"/>
  <c r="O55" i="11"/>
  <c r="O54" i="11"/>
  <c r="O38" i="11"/>
  <c r="O41" i="11"/>
  <c r="O37" i="11"/>
  <c r="O36" i="11"/>
  <c r="O39" i="11"/>
  <c r="L46" i="11"/>
  <c r="L50" i="11"/>
  <c r="L42" i="11"/>
  <c r="L43" i="11" s="1"/>
  <c r="L38" i="11"/>
  <c r="L36" i="11"/>
  <c r="L33" i="11"/>
  <c r="L31" i="11"/>
  <c r="L30" i="11"/>
  <c r="O25" i="11"/>
  <c r="O17" i="11"/>
  <c r="L9" i="11"/>
  <c r="L11" i="11"/>
  <c r="L12" i="11"/>
  <c r="L19" i="11"/>
  <c r="L23" i="11"/>
  <c r="L15" i="11"/>
  <c r="D50" i="11"/>
  <c r="D41" i="11"/>
  <c r="D17" i="11"/>
  <c r="D6" i="11"/>
  <c r="G50" i="11"/>
  <c r="G17" i="11"/>
  <c r="G6" i="11"/>
  <c r="F6" i="3"/>
  <c r="F11" i="4"/>
  <c r="F50" i="11"/>
  <c r="F41" i="11"/>
  <c r="F36" i="11"/>
  <c r="F17" i="11"/>
  <c r="F6" i="11"/>
  <c r="G41" i="11"/>
  <c r="G36" i="11"/>
  <c r="C12" i="3"/>
  <c r="C6" i="3"/>
  <c r="C16" i="3" s="1"/>
  <c r="C41" i="6"/>
  <c r="C72" i="6" s="1"/>
  <c r="C65" i="7"/>
  <c r="C6" i="7"/>
  <c r="C21" i="7" s="1"/>
  <c r="C14" i="7"/>
  <c r="C49" i="8"/>
  <c r="C21" i="8"/>
  <c r="C13" i="8"/>
  <c r="C6" i="8"/>
  <c r="C26" i="9"/>
  <c r="D35" i="3"/>
  <c r="E35" i="3"/>
  <c r="D34" i="3"/>
  <c r="E34" i="3"/>
  <c r="D21" i="3"/>
  <c r="E21" i="3"/>
  <c r="F21" i="3"/>
  <c r="C21" i="3"/>
  <c r="C34" i="3" s="1"/>
  <c r="D18" i="3"/>
  <c r="E18" i="3"/>
  <c r="F18" i="3"/>
  <c r="C18" i="3"/>
  <c r="D12" i="3"/>
  <c r="D16" i="3" s="1"/>
  <c r="E12" i="3"/>
  <c r="E16" i="3" s="1"/>
  <c r="F12" i="3"/>
  <c r="F8" i="3"/>
  <c r="F8" i="4"/>
  <c r="E8" i="4"/>
  <c r="F6" i="4"/>
  <c r="E6" i="4"/>
  <c r="E16" i="5"/>
  <c r="F27" i="5"/>
  <c r="E27" i="5"/>
  <c r="F19" i="5"/>
  <c r="E19" i="5"/>
  <c r="F17" i="5"/>
  <c r="E17" i="5"/>
  <c r="F11" i="5"/>
  <c r="E11" i="5"/>
  <c r="F6" i="5"/>
  <c r="E6" i="5"/>
  <c r="F41" i="6"/>
  <c r="E41" i="6"/>
  <c r="F32" i="6"/>
  <c r="E32" i="6"/>
  <c r="F28" i="6"/>
  <c r="F72" i="6" s="1"/>
  <c r="E28" i="6"/>
  <c r="E17" i="6"/>
  <c r="D35" i="7"/>
  <c r="D64" i="7" s="1"/>
  <c r="D65" i="7" s="1"/>
  <c r="E35" i="7"/>
  <c r="F35" i="7"/>
  <c r="F64" i="7" s="1"/>
  <c r="D26" i="7"/>
  <c r="E26" i="7"/>
  <c r="F26" i="7"/>
  <c r="D22" i="7"/>
  <c r="E22" i="7"/>
  <c r="F22" i="7"/>
  <c r="F14" i="7"/>
  <c r="E6" i="7"/>
  <c r="F6" i="7"/>
  <c r="F21" i="7" s="1"/>
  <c r="D6" i="7"/>
  <c r="F30" i="9"/>
  <c r="F59" i="9" s="1"/>
  <c r="E30" i="9"/>
  <c r="F26" i="9"/>
  <c r="E26" i="9"/>
  <c r="E23" i="9"/>
  <c r="F23" i="9"/>
  <c r="D23" i="9"/>
  <c r="F13" i="9"/>
  <c r="E13" i="9"/>
  <c r="F6" i="9"/>
  <c r="E6" i="9"/>
  <c r="F22" i="8"/>
  <c r="E22" i="8"/>
  <c r="F30" i="8"/>
  <c r="E30" i="8"/>
  <c r="F26" i="8"/>
  <c r="E26" i="8"/>
  <c r="E13" i="8"/>
  <c r="F13" i="8"/>
  <c r="F6" i="8"/>
  <c r="E6" i="8"/>
  <c r="F22" i="4"/>
  <c r="F21" i="2"/>
  <c r="F12" i="2"/>
  <c r="C27" i="6" l="1"/>
  <c r="C73" i="6" s="1"/>
  <c r="E72" i="6"/>
  <c r="E27" i="6"/>
  <c r="F27" i="6"/>
  <c r="F73" i="6" s="1"/>
  <c r="C59" i="9"/>
  <c r="C60" i="9" s="1"/>
  <c r="C66" i="9" s="1"/>
  <c r="L54" i="11"/>
  <c r="G29" i="11"/>
  <c r="D29" i="11"/>
  <c r="D97" i="11"/>
  <c r="F34" i="3"/>
  <c r="F16" i="3"/>
  <c r="F16" i="5"/>
  <c r="F28" i="5" s="1"/>
  <c r="F97" i="11"/>
  <c r="F29" i="11"/>
  <c r="G97" i="11"/>
  <c r="F65" i="7"/>
  <c r="E59" i="9"/>
  <c r="F22" i="9"/>
  <c r="F23" i="4"/>
  <c r="E28" i="5"/>
  <c r="F21" i="8"/>
  <c r="E21" i="8"/>
  <c r="F48" i="8"/>
  <c r="E48" i="8"/>
  <c r="E22" i="9"/>
  <c r="E60" i="9" s="1"/>
  <c r="F22" i="2"/>
  <c r="E73" i="6" l="1"/>
  <c r="D98" i="11"/>
  <c r="D105" i="11" s="1"/>
  <c r="F35" i="3"/>
  <c r="F98" i="11"/>
  <c r="G98" i="11"/>
  <c r="F60" i="9"/>
  <c r="F49" i="8"/>
  <c r="E49" i="8"/>
  <c r="E11" i="4" l="1"/>
  <c r="E23" i="4" s="1"/>
  <c r="O58" i="11" l="1"/>
  <c r="L25" i="11"/>
  <c r="O49" i="11"/>
</calcChain>
</file>

<file path=xl/sharedStrings.xml><?xml version="1.0" encoding="utf-8"?>
<sst xmlns="http://schemas.openxmlformats.org/spreadsheetml/2006/main" count="1070" uniqueCount="398">
  <si>
    <t>Resultatregnskap</t>
  </si>
  <si>
    <t>Romsås idrettslag</t>
  </si>
  <si>
    <t>2022 sammenlignet med 2021 Avdeling: 90</t>
  </si>
  <si>
    <t>Kontonr</t>
  </si>
  <si>
    <t>Konto</t>
  </si>
  <si>
    <t>2022</t>
  </si>
  <si>
    <t>2021</t>
  </si>
  <si>
    <t>Annen driftsinntekt</t>
  </si>
  <si>
    <t>3990</t>
  </si>
  <si>
    <t>Andre inntekter</t>
  </si>
  <si>
    <t>Sum driftsinntekter</t>
  </si>
  <si>
    <t>Lønnskostnad</t>
  </si>
  <si>
    <t>5014</t>
  </si>
  <si>
    <t>Honorar uten AGA (inkl.feriepenger)</t>
  </si>
  <si>
    <t>Annen driftskostnad</t>
  </si>
  <si>
    <t>6580</t>
  </si>
  <si>
    <t>Idrettsutstyr</t>
  </si>
  <si>
    <t>7100</t>
  </si>
  <si>
    <t>Bilgodtgjørelse</t>
  </si>
  <si>
    <t>7162</t>
  </si>
  <si>
    <t>Bevertning/mat</t>
  </si>
  <si>
    <t>7430</t>
  </si>
  <si>
    <t>Sosiale kostnader</t>
  </si>
  <si>
    <t>Sum driftskostnader</t>
  </si>
  <si>
    <t>Driftsresultat</t>
  </si>
  <si>
    <t>Budsjett</t>
  </si>
  <si>
    <t>3400</t>
  </si>
  <si>
    <t>3401</t>
  </si>
  <si>
    <t xml:space="preserve">3402 </t>
  </si>
  <si>
    <t>3960</t>
  </si>
  <si>
    <t>3970</t>
  </si>
  <si>
    <t>Tilskudd</t>
  </si>
  <si>
    <t>Aktivitetsstøtte (hodestøtte)</t>
  </si>
  <si>
    <t>LAM</t>
  </si>
  <si>
    <t>Grasro / bingo</t>
  </si>
  <si>
    <t>Mva kompensasjon</t>
  </si>
  <si>
    <t>5331</t>
  </si>
  <si>
    <t>6860</t>
  </si>
  <si>
    <t>7420</t>
  </si>
  <si>
    <t>Gaver og permier</t>
  </si>
  <si>
    <t>Møte, kurs, oppdatering etc</t>
  </si>
  <si>
    <t>Godgjørelse til styret, uten AGA</t>
  </si>
  <si>
    <t>Div kostnader</t>
  </si>
  <si>
    <t>7790</t>
  </si>
  <si>
    <t>Bank og kortgebyrer</t>
  </si>
  <si>
    <t>7770</t>
  </si>
  <si>
    <t>Påmelding serier, turneringer etc</t>
  </si>
  <si>
    <t>7410</t>
  </si>
  <si>
    <t>Medlemskontingenter</t>
  </si>
  <si>
    <t>7400</t>
  </si>
  <si>
    <t>Bevertning / mat</t>
  </si>
  <si>
    <t>Andre reisekostnader</t>
  </si>
  <si>
    <t>7145</t>
  </si>
  <si>
    <t>Medisinsk behandling, utstyr etc</t>
  </si>
  <si>
    <t>6770</t>
  </si>
  <si>
    <t>Momskompensasjon</t>
  </si>
  <si>
    <t>Bingo</t>
  </si>
  <si>
    <t>Treningsavgifter</t>
  </si>
  <si>
    <t>3930</t>
  </si>
  <si>
    <t>Grasrotmidler - Norsk Tipping</t>
  </si>
  <si>
    <t>3403</t>
  </si>
  <si>
    <t>3402</t>
  </si>
  <si>
    <t>Salgsint/ arr og kiosk</t>
  </si>
  <si>
    <t>3115</t>
  </si>
  <si>
    <t>Salgsinntekt</t>
  </si>
  <si>
    <t>2022 sammenlignet med 2021 Avdeling: Sykkel</t>
  </si>
  <si>
    <t>Gaver og premier</t>
  </si>
  <si>
    <t>Bilgodtgjørelsen</t>
  </si>
  <si>
    <t>Annen kontorkostnader</t>
  </si>
  <si>
    <t>6890</t>
  </si>
  <si>
    <t>Datautstyr</t>
  </si>
  <si>
    <t>6545</t>
  </si>
  <si>
    <t>Annen kostnad lokaler</t>
  </si>
  <si>
    <t>6390</t>
  </si>
  <si>
    <t>Leieinntekter (Bymil, hallvakter)</t>
  </si>
  <si>
    <t>3600</t>
  </si>
  <si>
    <t>2022 sammenlignet med 2021 Avdeling: Idrettshallen</t>
  </si>
  <si>
    <t>6540</t>
  </si>
  <si>
    <t>Inventar</t>
  </si>
  <si>
    <t>6600</t>
  </si>
  <si>
    <t>Reprasjon og vedlikehold</t>
  </si>
  <si>
    <t>6800</t>
  </si>
  <si>
    <t>Kontorrekvisitta</t>
  </si>
  <si>
    <t>Reisekostnad, ikke oppgavepliktig</t>
  </si>
  <si>
    <t>7140</t>
  </si>
  <si>
    <t>Leie lokaler</t>
  </si>
  <si>
    <t>6300</t>
  </si>
  <si>
    <t>2022 sammenlignet med 2021 Avdeling: Aerobic</t>
  </si>
  <si>
    <t>Udisponert overskudd/underskudd</t>
  </si>
  <si>
    <t>Ordinært resultat</t>
  </si>
  <si>
    <t>Resultat før skatt</t>
  </si>
  <si>
    <t>Netto finansposter</t>
  </si>
  <si>
    <t>Valutatap (disagio)</t>
  </si>
  <si>
    <t>8160</t>
  </si>
  <si>
    <t>Annen finanskostnad</t>
  </si>
  <si>
    <t>Diverse kostnader</t>
  </si>
  <si>
    <t>Bøter, sanksjoner</t>
  </si>
  <si>
    <t>7780</t>
  </si>
  <si>
    <t>Øresavrunding</t>
  </si>
  <si>
    <t>7740</t>
  </si>
  <si>
    <t>Forsikringspremier</t>
  </si>
  <si>
    <t>7500</t>
  </si>
  <si>
    <t>Overgangsgebyrer</t>
  </si>
  <si>
    <t>7440</t>
  </si>
  <si>
    <t>Reklame og annonser</t>
  </si>
  <si>
    <t>7320</t>
  </si>
  <si>
    <t>Andre reisekostnader, dommer</t>
  </si>
  <si>
    <t>7146</t>
  </si>
  <si>
    <t>Kilometergodtgjørelse, dommer</t>
  </si>
  <si>
    <t>7103</t>
  </si>
  <si>
    <t>Internett</t>
  </si>
  <si>
    <t>6900</t>
  </si>
  <si>
    <t>Kontorrekvisita</t>
  </si>
  <si>
    <t>Økonomisk og juridisk bistand</t>
  </si>
  <si>
    <t>6720</t>
  </si>
  <si>
    <t>Reparasjon og vedlikehold bygninger</t>
  </si>
  <si>
    <t>Annen leiekostnad</t>
  </si>
  <si>
    <t>6490</t>
  </si>
  <si>
    <t>Banekostnader</t>
  </si>
  <si>
    <t>6310</t>
  </si>
  <si>
    <t>Andre personalkostnader</t>
  </si>
  <si>
    <t>5990</t>
  </si>
  <si>
    <t>Dommerhonorarer</t>
  </si>
  <si>
    <t>5917</t>
  </si>
  <si>
    <t>Gaver til ansatte</t>
  </si>
  <si>
    <t>5900</t>
  </si>
  <si>
    <t>Utstyrsgodtgjørelse, dommer</t>
  </si>
  <si>
    <t>5505</t>
  </si>
  <si>
    <t>Annen oppgavepliktig godtgjørelse - ikke arbeidsgiveravgiftspliktig</t>
  </si>
  <si>
    <t>5395</t>
  </si>
  <si>
    <t>Dommerhonorar</t>
  </si>
  <si>
    <t>5012</t>
  </si>
  <si>
    <t>Varekostnad, kiosk</t>
  </si>
  <si>
    <t>4315</t>
  </si>
  <si>
    <t>Varekostnad, varer for videresalg</t>
  </si>
  <si>
    <t>4300</t>
  </si>
  <si>
    <t>Varekostnad</t>
  </si>
  <si>
    <t>Uidentifisert Inntekt Buypass/Saxo Payments/Spond AS</t>
  </si>
  <si>
    <t>3997</t>
  </si>
  <si>
    <t>Uidentifisert Inntekt Vipps</t>
  </si>
  <si>
    <t>3996</t>
  </si>
  <si>
    <t>Egenandeler</t>
  </si>
  <si>
    <t>3940</t>
  </si>
  <si>
    <t>Rabatt og annen salgsinntektsreduksjon</t>
  </si>
  <si>
    <t>3180</t>
  </si>
  <si>
    <t>Sponsorinntekter, avgiftsfri</t>
  </si>
  <si>
    <t>3120</t>
  </si>
  <si>
    <t>Futsal</t>
  </si>
  <si>
    <t>3117</t>
  </si>
  <si>
    <t>AKS</t>
  </si>
  <si>
    <t>3116</t>
  </si>
  <si>
    <t>Salgsinntekter arrangement/ kiosk</t>
  </si>
  <si>
    <t>Salgsinntekter, avgiftsfri</t>
  </si>
  <si>
    <t>3110</t>
  </si>
  <si>
    <t>Regnskap</t>
  </si>
  <si>
    <t>2022 sammenlignet med 2021 Avdeling: Fotball</t>
  </si>
  <si>
    <t>4316</t>
  </si>
  <si>
    <t>Medlemskontingent</t>
  </si>
  <si>
    <t>Lisenser, på trenere og dommere</t>
  </si>
  <si>
    <t>7600</t>
  </si>
  <si>
    <t>Andre kostnader</t>
  </si>
  <si>
    <t>6990</t>
  </si>
  <si>
    <t>Arbeidsgiveravgift</t>
  </si>
  <si>
    <t>5400</t>
  </si>
  <si>
    <t>Godtgjørelse til styret</t>
  </si>
  <si>
    <t>5330</t>
  </si>
  <si>
    <t>Lønn til ansatte</t>
  </si>
  <si>
    <t>5000</t>
  </si>
  <si>
    <t>Beholdningsendring varelager</t>
  </si>
  <si>
    <t>4390</t>
  </si>
  <si>
    <t>2022 sammenlignet med budsjett Avdeling: Håndball</t>
  </si>
  <si>
    <t>Resultat</t>
  </si>
  <si>
    <t>6100</t>
  </si>
  <si>
    <t>Frakt, transport, toll og avgifter</t>
  </si>
  <si>
    <t>6730</t>
  </si>
  <si>
    <t>Idretsfaglig bistand</t>
  </si>
  <si>
    <t>6940</t>
  </si>
  <si>
    <t>Porto</t>
  </si>
  <si>
    <t>7144</t>
  </si>
  <si>
    <t>Hotell/overnatting</t>
  </si>
  <si>
    <t>Dugnadsinntekter</t>
  </si>
  <si>
    <t>3950</t>
  </si>
  <si>
    <t>2022 sammenlignet med 2021 Avdeling: Turn</t>
  </si>
  <si>
    <t>Leieinntekter (Bymil etc)</t>
  </si>
  <si>
    <t>Annen kontorkostnad</t>
  </si>
  <si>
    <t>6320</t>
  </si>
  <si>
    <t>Annen rentekostnad</t>
  </si>
  <si>
    <t>8150</t>
  </si>
  <si>
    <t>Annen renteinntekt</t>
  </si>
  <si>
    <t>8050</t>
  </si>
  <si>
    <t>Annen finansinntekt</t>
  </si>
  <si>
    <t>Styre- og bedriftsforsamlingsmøter</t>
  </si>
  <si>
    <t>7710</t>
  </si>
  <si>
    <t>Regnskapshonorar</t>
  </si>
  <si>
    <t>6705</t>
  </si>
  <si>
    <t>Datautstyr (Programvare)</t>
  </si>
  <si>
    <t>6552</t>
  </si>
  <si>
    <t>Leie datasystemer</t>
  </si>
  <si>
    <t>6420</t>
  </si>
  <si>
    <t>Renhold</t>
  </si>
  <si>
    <t>6360</t>
  </si>
  <si>
    <t>Renovasjon, vann, avløp</t>
  </si>
  <si>
    <t>Fremmedytelse og underentreprise</t>
  </si>
  <si>
    <t>4500</t>
  </si>
  <si>
    <t>Uidentifiserte inntekter</t>
  </si>
  <si>
    <t>3991</t>
  </si>
  <si>
    <t>3920</t>
  </si>
  <si>
    <t>Varekostnader kiosk</t>
  </si>
  <si>
    <t>2023</t>
  </si>
  <si>
    <t>Romsås Idrettslag hovedstyret 2023</t>
  </si>
  <si>
    <t>Uidentifisert Inntekt</t>
  </si>
  <si>
    <t>7800</t>
  </si>
  <si>
    <t>3620</t>
  </si>
  <si>
    <t>Halleie     (kamper)</t>
  </si>
  <si>
    <t>Tap ved avgang anleggsmidler</t>
  </si>
  <si>
    <t>Idrettsfaglig bistand</t>
  </si>
  <si>
    <t>Frakt, transportkostnad, toll og avgifter</t>
  </si>
  <si>
    <t>Halleie</t>
  </si>
  <si>
    <r>
      <t>Udisponert overskudd/</t>
    </r>
    <r>
      <rPr>
        <sz val="11"/>
        <color rgb="FF000000"/>
        <rFont val="Calibri"/>
        <family val="2"/>
      </rPr>
      <t>underskudd</t>
    </r>
  </si>
  <si>
    <t>Resultatregnskap Romsås Idrettslag 2022 med budsjett</t>
  </si>
  <si>
    <t>Noter</t>
  </si>
  <si>
    <t>Annen oppg. pliktig godtgjørelse - ikke avg. pliktig</t>
  </si>
  <si>
    <t>1</t>
  </si>
  <si>
    <t>8</t>
  </si>
  <si>
    <t>2</t>
  </si>
  <si>
    <t>3</t>
  </si>
  <si>
    <t>4</t>
  </si>
  <si>
    <t>5</t>
  </si>
  <si>
    <t>6</t>
  </si>
  <si>
    <t>7</t>
  </si>
  <si>
    <t>9</t>
  </si>
  <si>
    <t>NOTER TIL REGNSKAPET</t>
  </si>
  <si>
    <t>Note 1, 3400 Tilskudd</t>
  </si>
  <si>
    <t>OIK</t>
  </si>
  <si>
    <t>Kompetamsepakke</t>
  </si>
  <si>
    <t>Gave 50 år</t>
  </si>
  <si>
    <t>Oslo kom.</t>
  </si>
  <si>
    <t>NFF</t>
  </si>
  <si>
    <t>Inkl. tilskudd</t>
  </si>
  <si>
    <t>OBOS</t>
  </si>
  <si>
    <t>Klubbhuset</t>
  </si>
  <si>
    <t>Sommeraktiviteter</t>
  </si>
  <si>
    <t>Treningstøy</t>
  </si>
  <si>
    <t>Jubileumsaktiviteter</t>
  </si>
  <si>
    <t>SPB stiftelsen</t>
  </si>
  <si>
    <t>Utstyr</t>
  </si>
  <si>
    <t>Groruddalssatsing</t>
  </si>
  <si>
    <t>UEFA Play..</t>
  </si>
  <si>
    <t>Fritidskortet</t>
  </si>
  <si>
    <t>Tilskudd RIL og klubbhus</t>
  </si>
  <si>
    <t>Utstyr sykkel</t>
  </si>
  <si>
    <t>Utstyr sykkelgr</t>
  </si>
  <si>
    <t>Gjensidigstiftelsen</t>
  </si>
  <si>
    <t>Dr. tilskudd f. baner</t>
  </si>
  <si>
    <t>Spleis</t>
  </si>
  <si>
    <t>Dr. tilskudd hall, vår/høst</t>
  </si>
  <si>
    <t>Nabolagsklubb</t>
  </si>
  <si>
    <t>Div</t>
  </si>
  <si>
    <t>Inkluderingsmidler</t>
  </si>
  <si>
    <t>Dugnadsinntekter, salg av sokker</t>
  </si>
  <si>
    <t>Andre inntekter, inntektsføring av plasseringskonto</t>
  </si>
  <si>
    <t>Note 2, salg av sokker</t>
  </si>
  <si>
    <t xml:space="preserve">Noen av inntektene er dessverre betalt inn på feil Vipps konto. </t>
  </si>
  <si>
    <t>Man får derfor ikke frem helt korrekte inntekter på denne dugnaden.</t>
  </si>
  <si>
    <t>Note 3, 5014 Honorar uten aga</t>
  </si>
  <si>
    <t>Avd 10</t>
  </si>
  <si>
    <t>Avd 20</t>
  </si>
  <si>
    <t>Avd 30</t>
  </si>
  <si>
    <t>Avd 40</t>
  </si>
  <si>
    <t>Avd 80</t>
  </si>
  <si>
    <t>Avd 90</t>
  </si>
  <si>
    <t>Avd 50</t>
  </si>
  <si>
    <t>Avd 60</t>
  </si>
  <si>
    <t>Note 4, godtgjørelse til styrer</t>
  </si>
  <si>
    <t>Note 5, Inventar</t>
  </si>
  <si>
    <t>Oppvaskmaskin</t>
  </si>
  <si>
    <t>TV m/oppheng</t>
  </si>
  <si>
    <t>Vaffelhjer og mikser</t>
  </si>
  <si>
    <t>Vannkoker</t>
  </si>
  <si>
    <t>Note 6, 6580 Idretsutstyr</t>
  </si>
  <si>
    <t>Treningsutst. (se OBOS)</t>
  </si>
  <si>
    <t>Div åpen hall</t>
  </si>
  <si>
    <t>Utstyr til oppvisning</t>
  </si>
  <si>
    <t>Div.</t>
  </si>
  <si>
    <t>Videokamera</t>
  </si>
  <si>
    <t>Div drakter og annet</t>
  </si>
  <si>
    <t>8 terrengsyklar</t>
  </si>
  <si>
    <t>Hansker til barna</t>
  </si>
  <si>
    <t>Sykkelhopp</t>
  </si>
  <si>
    <t>Sykkelhjelmer</t>
  </si>
  <si>
    <t>3 sykkelsekker</t>
  </si>
  <si>
    <t>Utstyr til trenerne</t>
  </si>
  <si>
    <t>Deler og tilbehør til sykler</t>
  </si>
  <si>
    <t>Sykkelvedlikehold</t>
  </si>
  <si>
    <t>Note 7, 6600, vedlikehold klubbhuset</t>
  </si>
  <si>
    <t>Norbækk Bygg</t>
  </si>
  <si>
    <t>Holt elektro</t>
  </si>
  <si>
    <t>Maling og div</t>
  </si>
  <si>
    <t>Nøkler</t>
  </si>
  <si>
    <t>Toalett</t>
  </si>
  <si>
    <t>Note 8, 7410 påmeldinger</t>
  </si>
  <si>
    <t>Avdelingsnavn er: 10 hovedstyret, 20 turn, 30 håndball, 40 fotball, 50 aerobic, 60 hallen, 80 sykkel, 90 dans.</t>
  </si>
  <si>
    <t>Note 9, 7420 Gaver og premier</t>
  </si>
  <si>
    <t>Premier</t>
  </si>
  <si>
    <t>Gaver</t>
  </si>
  <si>
    <t>Forsikringspremier, NFF</t>
  </si>
  <si>
    <t>2022 sammenlignet med budsjett Avdeling: IKKE I BRUK Orientering og Trim</t>
  </si>
  <si>
    <t xml:space="preserve">Medgått </t>
  </si>
  <si>
    <t>skulle vært plassert på en annen gruppe.</t>
  </si>
  <si>
    <t>Da jeg anser dette beløpet som uvesentlig i det store og hele lar vi det stå.</t>
  </si>
  <si>
    <t>Mvh Sissel</t>
  </si>
  <si>
    <t xml:space="preserve">Her er det beklagerlig vis sneket seg en en feil, Denne gruppen er nedlagt og kostnaden </t>
  </si>
  <si>
    <t>Utstyr til styret</t>
  </si>
  <si>
    <t>Romsås Idrettslag, Balanse 31.12.2022</t>
  </si>
  <si>
    <t>Balanse fortsetter</t>
  </si>
  <si>
    <t>Note</t>
  </si>
  <si>
    <t>31.12.2022</t>
  </si>
  <si>
    <t>31.12.2021</t>
  </si>
  <si>
    <t>Noter til balansen</t>
  </si>
  <si>
    <t>Eiendeler</t>
  </si>
  <si>
    <t>Egenkapital og gjeld</t>
  </si>
  <si>
    <t>Anleggsmidler</t>
  </si>
  <si>
    <t>Egenkapital</t>
  </si>
  <si>
    <t>Varige driftsmidler</t>
  </si>
  <si>
    <t>Opptjent egenkapital</t>
  </si>
  <si>
    <t>Tomter, bygninger og annen fast eiendom</t>
  </si>
  <si>
    <t>Annen egenkapital</t>
  </si>
  <si>
    <t>1100 Idrettsanlegg, bygninger etc</t>
  </si>
  <si>
    <t>2050 Fremført resultat</t>
  </si>
  <si>
    <t>Sum Varige driftsmidler</t>
  </si>
  <si>
    <t>Udisponert overskudd/underskudd 2022</t>
  </si>
  <si>
    <t>Sum Anleggsmidler</t>
  </si>
  <si>
    <t>Sum Opptjent egenkapital</t>
  </si>
  <si>
    <t>Omløpsmidler</t>
  </si>
  <si>
    <t>Sum Egenkapital</t>
  </si>
  <si>
    <t>Varer</t>
  </si>
  <si>
    <t>Gjeld</t>
  </si>
  <si>
    <t>Avsetning for forpliktelser</t>
  </si>
  <si>
    <t>1460 Varer på lager</t>
  </si>
  <si>
    <t>Andre avsetninger for forpliktelser</t>
  </si>
  <si>
    <t>Sum Varer</t>
  </si>
  <si>
    <t>2180 Ullmax fond</t>
  </si>
  <si>
    <t>Fordringer</t>
  </si>
  <si>
    <t>Sum Avsetning for forpliktelser</t>
  </si>
  <si>
    <t>Kundefordringer</t>
  </si>
  <si>
    <t>Kortsiktig gjeld</t>
  </si>
  <si>
    <t>1500 Kundefordringer</t>
  </si>
  <si>
    <t>Leverandørgjeld</t>
  </si>
  <si>
    <t>Andre fordringer</t>
  </si>
  <si>
    <t>2400 Leverandørgjeld</t>
  </si>
  <si>
    <t>1700 Forskuddsbetalte kostnader</t>
  </si>
  <si>
    <t>Skyldige offentlige avgifter</t>
  </si>
  <si>
    <t>1750 Påløpte inntekter</t>
  </si>
  <si>
    <t>2600 Forskuddstrekk</t>
  </si>
  <si>
    <t>Sum Fordringer</t>
  </si>
  <si>
    <t>Annen kortsiktig gjeld</t>
  </si>
  <si>
    <t>Bankinnskudd, kontanter o.l.</t>
  </si>
  <si>
    <t>2910 Gjeld til ansatte og eiere</t>
  </si>
  <si>
    <t>2960 Påløpt kostnad og forskuddsbetalt inntekt</t>
  </si>
  <si>
    <t>1920 Hovedstyre, Driftskonto 78770695170</t>
  </si>
  <si>
    <t>2980 Avsetninger og forpliktelser</t>
  </si>
  <si>
    <t>1925 Plasseringskonir Humleby 15037390329</t>
  </si>
  <si>
    <t>2981 Avsetning inkluderingsmidler</t>
  </si>
  <si>
    <t>1930 Plasseringskonti 2 15039439198</t>
  </si>
  <si>
    <t>2982 Avsetning Nabolagsklubb</t>
  </si>
  <si>
    <t>1950 DNB Bankinnskudd, skattetrekk 1506.46.92442</t>
  </si>
  <si>
    <t>Sum Kortsiktig gjeld</t>
  </si>
  <si>
    <t>Sum Bankinnskudd, kontanter o.l.</t>
  </si>
  <si>
    <t>Sum Gjeld</t>
  </si>
  <si>
    <t>Sum Omløpsmidler</t>
  </si>
  <si>
    <t>Sum Egenkapital og gjeld</t>
  </si>
  <si>
    <t>Sum Eiendeler</t>
  </si>
  <si>
    <t>Note 1, 1460 varer på lager</t>
  </si>
  <si>
    <t>Note 2, 1500 Kundefordringer</t>
  </si>
  <si>
    <t>Note 5, avsetning Inkluderingsmidler</t>
  </si>
  <si>
    <t>Tilhører turn og skulle vært kostnadsført i 2022</t>
  </si>
  <si>
    <t>Alt er innbetalt pr 31.01</t>
  </si>
  <si>
    <t>Rest inkluderingsmidler, overført til 2023</t>
  </si>
  <si>
    <t>Note 3, 1700 Forskudskostnader</t>
  </si>
  <si>
    <t>Fremtind forsikring (Klubbhus, utstyr, kassererforsikring)</t>
  </si>
  <si>
    <t>Note 6, 2982, avsetning Nabolagsklubb</t>
  </si>
  <si>
    <t>Støtte 2022</t>
  </si>
  <si>
    <t>Benyttet 2022</t>
  </si>
  <si>
    <t>Note 4   påløpte inntekter</t>
  </si>
  <si>
    <t>Støtte 2023</t>
  </si>
  <si>
    <t>Grasrot</t>
  </si>
  <si>
    <t>Støtte 2023  DL</t>
  </si>
  <si>
    <t xml:space="preserve">Spb1, </t>
  </si>
  <si>
    <t>Oslo 14.03.2023</t>
  </si>
  <si>
    <t>Leder, kontrollutvalget</t>
  </si>
  <si>
    <t>Leder</t>
  </si>
  <si>
    <t>Nestleder</t>
  </si>
  <si>
    <t>Subeegan Ranakumumar /s</t>
  </si>
  <si>
    <t>Sissel Smeby /s</t>
  </si>
  <si>
    <t>Morten Busch /s</t>
  </si>
  <si>
    <t>Styremedlem</t>
  </si>
  <si>
    <t>Malika Kemp /s</t>
  </si>
  <si>
    <t>Adnan Naeem 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</si>
</sst>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8" x14ac:knownFonts="1"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3" fontId="5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49" fontId="4" fillId="0" borderId="1" xfId="0" applyNumberFormat="1" applyFont="1" applyBorder="1" applyAlignment="1">
      <alignment vertical="top"/>
    </xf>
    <xf numFmtId="3" fontId="0" fillId="0" borderId="0" xfId="0" applyNumberFormat="1" applyAlignment="1">
      <alignment vertical="top"/>
    </xf>
    <xf numFmtId="3" fontId="4" fillId="0" borderId="1" xfId="0" applyNumberFormat="1" applyFont="1" applyBorder="1" applyAlignment="1">
      <alignment vertical="top"/>
    </xf>
    <xf numFmtId="49" fontId="0" fillId="2" borderId="0" xfId="0" applyNumberFormat="1" applyFill="1" applyAlignment="1">
      <alignment vertical="top"/>
    </xf>
    <xf numFmtId="49" fontId="6" fillId="0" borderId="0" xfId="0" applyNumberFormat="1" applyFont="1" applyAlignment="1">
      <alignment vertical="top"/>
    </xf>
    <xf numFmtId="49" fontId="0" fillId="0" borderId="2" xfId="0" applyNumberFormat="1" applyBorder="1" applyAlignment="1">
      <alignment vertical="top"/>
    </xf>
    <xf numFmtId="164" fontId="0" fillId="0" borderId="0" xfId="1" applyNumberFormat="1" applyFont="1"/>
    <xf numFmtId="164" fontId="0" fillId="0" borderId="2" xfId="1" applyNumberFormat="1" applyFont="1" applyBorder="1"/>
    <xf numFmtId="164" fontId="4" fillId="0" borderId="3" xfId="1" applyNumberFormat="1" applyFont="1" applyBorder="1"/>
    <xf numFmtId="164" fontId="4" fillId="0" borderId="2" xfId="1" applyNumberFormat="1" applyFont="1" applyBorder="1"/>
    <xf numFmtId="0" fontId="4" fillId="0" borderId="0" xfId="0" applyFont="1" applyAlignment="1">
      <alignment horizontal="center"/>
    </xf>
    <xf numFmtId="164" fontId="4" fillId="0" borderId="0" xfId="1" applyNumberFormat="1" applyFont="1"/>
    <xf numFmtId="164" fontId="0" fillId="0" borderId="0" xfId="1" applyNumberFormat="1" applyFont="1" applyAlignment="1">
      <alignment vertical="top"/>
    </xf>
    <xf numFmtId="164" fontId="4" fillId="0" borderId="0" xfId="0" applyNumberFormat="1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4" fillId="0" borderId="0" xfId="0" applyNumberFormat="1" applyFont="1" applyAlignment="1">
      <alignment vertical="top"/>
    </xf>
    <xf numFmtId="3" fontId="4" fillId="0" borderId="0" xfId="1" applyNumberFormat="1" applyFont="1"/>
    <xf numFmtId="3" fontId="0" fillId="0" borderId="0" xfId="1" applyNumberFormat="1" applyFont="1"/>
    <xf numFmtId="3" fontId="4" fillId="0" borderId="2" xfId="1" applyNumberFormat="1" applyFont="1" applyBorder="1"/>
    <xf numFmtId="3" fontId="4" fillId="0" borderId="3" xfId="1" applyNumberFormat="1" applyFont="1" applyBorder="1"/>
    <xf numFmtId="3" fontId="0" fillId="0" borderId="0" xfId="0" applyNumberFormat="1"/>
    <xf numFmtId="3" fontId="0" fillId="0" borderId="0" xfId="1" applyNumberFormat="1" applyFont="1" applyAlignment="1">
      <alignment vertical="top"/>
    </xf>
    <xf numFmtId="164" fontId="6" fillId="0" borderId="0" xfId="1" applyNumberFormat="1" applyFont="1"/>
    <xf numFmtId="0" fontId="4" fillId="0" borderId="6" xfId="0" applyFont="1" applyBorder="1"/>
    <xf numFmtId="0" fontId="4" fillId="0" borderId="7" xfId="0" applyFont="1" applyBorder="1"/>
    <xf numFmtId="164" fontId="4" fillId="0" borderId="0" xfId="1" applyNumberFormat="1" applyFont="1" applyAlignment="1">
      <alignment vertical="top"/>
    </xf>
    <xf numFmtId="164" fontId="4" fillId="0" borderId="1" xfId="1" applyNumberFormat="1" applyFont="1" applyBorder="1" applyAlignment="1">
      <alignment vertical="top"/>
    </xf>
    <xf numFmtId="164" fontId="5" fillId="0" borderId="0" xfId="1" applyNumberFormat="1" applyFont="1"/>
    <xf numFmtId="4" fontId="0" fillId="0" borderId="0" xfId="0" applyNumberFormat="1"/>
    <xf numFmtId="164" fontId="0" fillId="0" borderId="2" xfId="1" applyNumberFormat="1" applyFont="1" applyBorder="1" applyAlignment="1">
      <alignment vertical="top"/>
    </xf>
    <xf numFmtId="49" fontId="4" fillId="0" borderId="0" xfId="0" applyNumberFormat="1" applyFont="1" applyBorder="1" applyAlignment="1">
      <alignment vertical="top"/>
    </xf>
    <xf numFmtId="164" fontId="4" fillId="0" borderId="0" xfId="1" applyNumberFormat="1" applyFont="1" applyBorder="1"/>
    <xf numFmtId="3" fontId="6" fillId="0" borderId="0" xfId="0" applyNumberFormat="1" applyFont="1" applyAlignment="1">
      <alignment vertical="top"/>
    </xf>
    <xf numFmtId="0" fontId="0" fillId="0" borderId="8" xfId="0" applyBorder="1"/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49" fontId="4" fillId="0" borderId="8" xfId="0" applyNumberFormat="1" applyFont="1" applyBorder="1" applyAlignment="1">
      <alignment vertical="top"/>
    </xf>
    <xf numFmtId="3" fontId="4" fillId="0" borderId="8" xfId="0" applyNumberFormat="1" applyFont="1" applyBorder="1" applyAlignment="1">
      <alignment vertical="top"/>
    </xf>
    <xf numFmtId="164" fontId="4" fillId="0" borderId="8" xfId="1" applyNumberFormat="1" applyFont="1" applyBorder="1"/>
    <xf numFmtId="164" fontId="4" fillId="0" borderId="8" xfId="0" applyNumberFormat="1" applyFont="1" applyBorder="1"/>
    <xf numFmtId="49" fontId="0" fillId="0" borderId="8" xfId="0" applyNumberFormat="1" applyBorder="1" applyAlignment="1">
      <alignment vertical="top"/>
    </xf>
    <xf numFmtId="3" fontId="0" fillId="0" borderId="8" xfId="0" applyNumberFormat="1" applyBorder="1" applyAlignment="1">
      <alignment vertical="top"/>
    </xf>
    <xf numFmtId="164" fontId="0" fillId="0" borderId="8" xfId="1" applyNumberFormat="1" applyFont="1" applyBorder="1"/>
    <xf numFmtId="164" fontId="0" fillId="0" borderId="8" xfId="1" applyNumberFormat="1" applyFont="1" applyFill="1" applyBorder="1"/>
    <xf numFmtId="164" fontId="4" fillId="0" borderId="8" xfId="1" applyNumberFormat="1" applyFont="1" applyFill="1" applyBorder="1"/>
    <xf numFmtId="165" fontId="0" fillId="0" borderId="0" xfId="1" applyNumberFormat="1" applyFont="1"/>
    <xf numFmtId="164" fontId="0" fillId="0" borderId="0" xfId="1" applyNumberFormat="1" applyFont="1" applyBorder="1"/>
    <xf numFmtId="0" fontId="0" fillId="0" borderId="0" xfId="0" applyBorder="1"/>
    <xf numFmtId="164" fontId="0" fillId="0" borderId="0" xfId="0" applyNumberFormat="1"/>
    <xf numFmtId="164" fontId="0" fillId="0" borderId="0" xfId="1" applyNumberFormat="1" applyFont="1" applyFill="1"/>
    <xf numFmtId="164" fontId="4" fillId="0" borderId="0" xfId="1" applyNumberFormat="1" applyFont="1" applyFill="1"/>
    <xf numFmtId="164" fontId="4" fillId="0" borderId="2" xfId="1" applyNumberFormat="1" applyFont="1" applyFill="1" applyBorder="1"/>
    <xf numFmtId="164" fontId="4" fillId="0" borderId="3" xfId="1" applyNumberFormat="1" applyFont="1" applyFill="1" applyBorder="1"/>
    <xf numFmtId="4" fontId="4" fillId="0" borderId="0" xfId="0" applyNumberFormat="1" applyFont="1" applyAlignment="1">
      <alignment vertical="top"/>
    </xf>
    <xf numFmtId="4" fontId="0" fillId="0" borderId="0" xfId="0" applyNumberFormat="1" applyAlignment="1">
      <alignment vertical="top"/>
    </xf>
    <xf numFmtId="4" fontId="4" fillId="0" borderId="1" xfId="0" applyNumberFormat="1" applyFont="1" applyBorder="1" applyAlignment="1">
      <alignment vertical="top"/>
    </xf>
    <xf numFmtId="0" fontId="4" fillId="0" borderId="8" xfId="0" applyFont="1" applyBorder="1" applyAlignment="1">
      <alignment horizontal="center"/>
    </xf>
    <xf numFmtId="0" fontId="1" fillId="0" borderId="0" xfId="0" applyFont="1"/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64" fontId="4" fillId="0" borderId="5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1" applyNumberFormat="1" applyFont="1" applyAlignment="1"/>
    <xf numFmtId="49" fontId="4" fillId="0" borderId="0" xfId="0" applyNumberFormat="1" applyFont="1" applyAlignment="1">
      <alignment vertical="center"/>
    </xf>
    <xf numFmtId="164" fontId="4" fillId="0" borderId="0" xfId="1" applyNumberFormat="1" applyFont="1" applyAlignment="1">
      <alignment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FBC1-F8EA-4FEB-83B5-2BBAF784519A}">
  <dimension ref="A1:Q119"/>
  <sheetViews>
    <sheetView tabSelected="1" zoomScaleNormal="100" workbookViewId="0">
      <pane ySplit="5" topLeftCell="A6" activePane="bottomLeft" state="frozenSplit"/>
      <selection pane="bottomLeft" activeCell="B2" sqref="B2"/>
    </sheetView>
  </sheetViews>
  <sheetFormatPr baseColWidth="10" defaultColWidth="8.88671875" defaultRowHeight="14.4" x14ac:dyDescent="0.3"/>
  <cols>
    <col min="1" max="1" width="8.77734375" customWidth="1"/>
    <col min="2" max="2" width="40.109375" customWidth="1"/>
    <col min="3" max="3" width="8" customWidth="1"/>
    <col min="4" max="5" width="13" customWidth="1"/>
    <col min="6" max="7" width="12.77734375" bestFit="1" customWidth="1"/>
    <col min="9" max="9" width="10.21875" bestFit="1" customWidth="1"/>
    <col min="10" max="10" width="17.88671875" customWidth="1"/>
    <col min="11" max="11" width="20.44140625" customWidth="1"/>
    <col min="12" max="12" width="11.21875" style="13" bestFit="1" customWidth="1"/>
    <col min="14" max="14" width="12.77734375" customWidth="1"/>
    <col min="15" max="15" width="11.21875" bestFit="1" customWidth="1"/>
  </cols>
  <sheetData>
    <row r="1" spans="1:16" ht="27" customHeight="1" x14ac:dyDescent="0.5">
      <c r="A1" s="2" t="s">
        <v>219</v>
      </c>
      <c r="J1" s="2" t="s">
        <v>231</v>
      </c>
    </row>
    <row r="2" spans="1:16" ht="18" customHeight="1" x14ac:dyDescent="0.35">
      <c r="A2" s="3"/>
    </row>
    <row r="3" spans="1:16" ht="18" customHeight="1" x14ac:dyDescent="0.35">
      <c r="A3" s="1"/>
      <c r="J3" t="s">
        <v>301</v>
      </c>
    </row>
    <row r="4" spans="1:16" x14ac:dyDescent="0.3">
      <c r="A4" s="41"/>
      <c r="B4" s="41"/>
      <c r="C4" s="41"/>
      <c r="D4" s="64" t="s">
        <v>154</v>
      </c>
      <c r="E4" s="64"/>
      <c r="F4" s="64" t="s">
        <v>25</v>
      </c>
      <c r="G4" s="64"/>
    </row>
    <row r="5" spans="1:16" x14ac:dyDescent="0.3">
      <c r="A5" s="43" t="s">
        <v>3</v>
      </c>
      <c r="B5" s="43" t="s">
        <v>4</v>
      </c>
      <c r="C5" s="43" t="s">
        <v>220</v>
      </c>
      <c r="D5" s="42" t="s">
        <v>5</v>
      </c>
      <c r="E5" s="42" t="s">
        <v>6</v>
      </c>
      <c r="F5" s="42">
        <v>2022</v>
      </c>
      <c r="G5" s="42">
        <v>2023</v>
      </c>
      <c r="J5" s="4" t="s">
        <v>232</v>
      </c>
      <c r="N5" s="4" t="s">
        <v>261</v>
      </c>
    </row>
    <row r="6" spans="1:16" x14ac:dyDescent="0.3">
      <c r="A6" s="44"/>
      <c r="B6" s="44" t="s">
        <v>64</v>
      </c>
      <c r="C6" s="44"/>
      <c r="D6" s="45">
        <f>SUM(D7:D16)</f>
        <v>2247004.31</v>
      </c>
      <c r="E6" s="45">
        <v>901022.88</v>
      </c>
      <c r="F6" s="46">
        <f>SUM(F7:F16)</f>
        <v>1220500</v>
      </c>
      <c r="G6" s="47">
        <f>SUM(G7:G16)</f>
        <v>1556000</v>
      </c>
      <c r="J6" t="s">
        <v>233</v>
      </c>
      <c r="K6" t="s">
        <v>234</v>
      </c>
      <c r="L6" s="13">
        <v>800</v>
      </c>
      <c r="N6" t="s">
        <v>262</v>
      </c>
    </row>
    <row r="7" spans="1:16" x14ac:dyDescent="0.3">
      <c r="A7" s="48" t="s">
        <v>153</v>
      </c>
      <c r="B7" s="48" t="s">
        <v>152</v>
      </c>
      <c r="C7" s="48" t="s">
        <v>224</v>
      </c>
      <c r="D7" s="49">
        <v>39535</v>
      </c>
      <c r="E7" s="49">
        <v>8926.8799999999992</v>
      </c>
      <c r="F7" s="50">
        <v>32000</v>
      </c>
      <c r="G7" s="51">
        <v>55000</v>
      </c>
      <c r="K7" t="s">
        <v>235</v>
      </c>
      <c r="L7" s="13">
        <v>2000</v>
      </c>
      <c r="N7" t="s">
        <v>263</v>
      </c>
    </row>
    <row r="8" spans="1:16" x14ac:dyDescent="0.3">
      <c r="A8" s="48" t="s">
        <v>63</v>
      </c>
      <c r="B8" s="48" t="s">
        <v>151</v>
      </c>
      <c r="C8" s="48"/>
      <c r="D8" s="49">
        <v>107571.76</v>
      </c>
      <c r="E8" s="49"/>
      <c r="F8" s="50">
        <v>150000</v>
      </c>
      <c r="G8" s="51">
        <v>125000</v>
      </c>
      <c r="K8" t="s">
        <v>241</v>
      </c>
      <c r="L8" s="13">
        <v>40000</v>
      </c>
    </row>
    <row r="9" spans="1:16" x14ac:dyDescent="0.3">
      <c r="A9" s="48" t="s">
        <v>150</v>
      </c>
      <c r="B9" s="48" t="s">
        <v>149</v>
      </c>
      <c r="C9" s="48"/>
      <c r="D9" s="49">
        <v>173062.5</v>
      </c>
      <c r="E9" s="49"/>
      <c r="F9" s="50">
        <v>60000</v>
      </c>
      <c r="G9" s="51"/>
      <c r="K9" t="s">
        <v>256</v>
      </c>
      <c r="L9" s="13">
        <f>20000+13500+65011</f>
        <v>98511</v>
      </c>
    </row>
    <row r="10" spans="1:16" x14ac:dyDescent="0.3">
      <c r="A10" s="48" t="s">
        <v>148</v>
      </c>
      <c r="B10" s="48" t="s">
        <v>147</v>
      </c>
      <c r="C10" s="48"/>
      <c r="D10" s="49">
        <v>20000</v>
      </c>
      <c r="E10" s="49"/>
      <c r="F10" s="50">
        <v>26000</v>
      </c>
      <c r="G10" s="51">
        <v>20000</v>
      </c>
      <c r="K10" t="s">
        <v>258</v>
      </c>
      <c r="L10" s="13">
        <v>22800</v>
      </c>
      <c r="N10" s="4" t="s">
        <v>264</v>
      </c>
    </row>
    <row r="11" spans="1:16" x14ac:dyDescent="0.3">
      <c r="A11" s="48" t="s">
        <v>146</v>
      </c>
      <c r="B11" s="48" t="s">
        <v>145</v>
      </c>
      <c r="C11" s="48"/>
      <c r="D11" s="49">
        <v>51592</v>
      </c>
      <c r="E11" s="49">
        <v>64441</v>
      </c>
      <c r="F11" s="50">
        <v>50000</v>
      </c>
      <c r="G11" s="51">
        <v>50000</v>
      </c>
      <c r="J11" t="s">
        <v>236</v>
      </c>
      <c r="K11" t="s">
        <v>255</v>
      </c>
      <c r="L11" s="13">
        <f>75674+71452</f>
        <v>147126</v>
      </c>
      <c r="N11" t="s">
        <v>265</v>
      </c>
      <c r="O11" s="13">
        <v>119700</v>
      </c>
    </row>
    <row r="12" spans="1:16" x14ac:dyDescent="0.3">
      <c r="A12" s="48" t="s">
        <v>144</v>
      </c>
      <c r="B12" s="48" t="s">
        <v>143</v>
      </c>
      <c r="C12" s="48"/>
      <c r="D12" s="49">
        <v>539.61</v>
      </c>
      <c r="E12" s="49"/>
      <c r="F12" s="50"/>
      <c r="G12" s="51"/>
      <c r="K12" t="s">
        <v>253</v>
      </c>
      <c r="L12" s="13">
        <f>6146+4917+10562</f>
        <v>21625</v>
      </c>
      <c r="N12" t="s">
        <v>266</v>
      </c>
      <c r="O12" s="13">
        <v>245124</v>
      </c>
    </row>
    <row r="13" spans="1:16" x14ac:dyDescent="0.3">
      <c r="A13" s="48" t="s">
        <v>26</v>
      </c>
      <c r="B13" s="48" t="s">
        <v>31</v>
      </c>
      <c r="C13" s="48" t="s">
        <v>222</v>
      </c>
      <c r="D13" s="49">
        <v>1269387</v>
      </c>
      <c r="E13" s="49">
        <v>827655</v>
      </c>
      <c r="F13" s="50">
        <v>637000</v>
      </c>
      <c r="G13" s="51">
        <v>718000</v>
      </c>
      <c r="K13" t="s">
        <v>249</v>
      </c>
      <c r="L13" s="13">
        <v>56000</v>
      </c>
      <c r="N13" t="s">
        <v>267</v>
      </c>
      <c r="O13" s="13">
        <v>79000</v>
      </c>
      <c r="P13" s="55"/>
    </row>
    <row r="14" spans="1:16" x14ac:dyDescent="0.3">
      <c r="A14" s="48" t="s">
        <v>27</v>
      </c>
      <c r="B14" s="48" t="s">
        <v>32</v>
      </c>
      <c r="C14" s="48"/>
      <c r="D14" s="49">
        <v>133250</v>
      </c>
      <c r="E14" s="49"/>
      <c r="F14" s="50">
        <v>123500</v>
      </c>
      <c r="G14" s="51">
        <v>145500</v>
      </c>
      <c r="J14" t="s">
        <v>237</v>
      </c>
      <c r="K14" t="s">
        <v>238</v>
      </c>
      <c r="L14" s="13">
        <v>40000</v>
      </c>
      <c r="N14" t="s">
        <v>268</v>
      </c>
      <c r="O14" s="13">
        <v>341338</v>
      </c>
    </row>
    <row r="15" spans="1:16" x14ac:dyDescent="0.3">
      <c r="A15" s="48" t="s">
        <v>61</v>
      </c>
      <c r="B15" s="48" t="s">
        <v>33</v>
      </c>
      <c r="C15" s="48"/>
      <c r="D15" s="49">
        <v>193937</v>
      </c>
      <c r="E15" s="49"/>
      <c r="F15" s="50">
        <v>142000</v>
      </c>
      <c r="G15" s="51">
        <v>194500</v>
      </c>
      <c r="K15" t="s">
        <v>247</v>
      </c>
      <c r="L15" s="13">
        <f>4000+10000</f>
        <v>14000</v>
      </c>
      <c r="N15" t="s">
        <v>271</v>
      </c>
      <c r="O15" s="13">
        <v>20500</v>
      </c>
    </row>
    <row r="16" spans="1:16" x14ac:dyDescent="0.3">
      <c r="A16" s="48" t="s">
        <v>60</v>
      </c>
      <c r="B16" s="48" t="s">
        <v>59</v>
      </c>
      <c r="C16" s="48"/>
      <c r="D16" s="49">
        <v>258129.44</v>
      </c>
      <c r="E16" s="49"/>
      <c r="F16" s="50"/>
      <c r="G16" s="51">
        <v>248000</v>
      </c>
      <c r="J16" t="s">
        <v>239</v>
      </c>
      <c r="K16" t="s">
        <v>240</v>
      </c>
      <c r="L16" s="13">
        <v>150000</v>
      </c>
      <c r="N16" t="s">
        <v>270</v>
      </c>
      <c r="O16" s="14">
        <v>26600</v>
      </c>
    </row>
    <row r="17" spans="1:15" x14ac:dyDescent="0.3">
      <c r="A17" s="44"/>
      <c r="B17" s="44" t="s">
        <v>7</v>
      </c>
      <c r="C17" s="44"/>
      <c r="D17" s="45">
        <f>SUM(D18:D28)</f>
        <v>1065915.07</v>
      </c>
      <c r="E17" s="45">
        <v>1173974.3799999999</v>
      </c>
      <c r="F17" s="46">
        <f>SUM(F18:F28)</f>
        <v>1156000</v>
      </c>
      <c r="G17" s="47">
        <f>SUM(G18:G28)</f>
        <v>1652000</v>
      </c>
      <c r="K17" t="s">
        <v>243</v>
      </c>
      <c r="L17" s="13">
        <v>35000</v>
      </c>
      <c r="O17" s="18">
        <f>SUM(O11:O16)</f>
        <v>832262</v>
      </c>
    </row>
    <row r="18" spans="1:15" x14ac:dyDescent="0.3">
      <c r="A18" s="48" t="s">
        <v>75</v>
      </c>
      <c r="B18" s="48" t="s">
        <v>74</v>
      </c>
      <c r="C18" s="48"/>
      <c r="D18" s="49">
        <v>37275.03</v>
      </c>
      <c r="E18" s="49">
        <v>3350</v>
      </c>
      <c r="F18" s="50">
        <v>125000</v>
      </c>
      <c r="G18" s="51">
        <v>165000</v>
      </c>
      <c r="K18" t="s">
        <v>242</v>
      </c>
      <c r="L18" s="13">
        <v>75000</v>
      </c>
      <c r="O18" s="13"/>
    </row>
    <row r="19" spans="1:15" x14ac:dyDescent="0.3">
      <c r="A19" s="48" t="s">
        <v>212</v>
      </c>
      <c r="B19" s="48" t="s">
        <v>217</v>
      </c>
      <c r="C19" s="48"/>
      <c r="D19" s="49">
        <v>51575</v>
      </c>
      <c r="E19" s="49"/>
      <c r="F19" s="50"/>
      <c r="G19" s="41"/>
      <c r="J19" t="s">
        <v>244</v>
      </c>
      <c r="K19" t="s">
        <v>245</v>
      </c>
      <c r="L19" s="13">
        <f>4755+7245+2175</f>
        <v>14175</v>
      </c>
    </row>
    <row r="20" spans="1:15" x14ac:dyDescent="0.3">
      <c r="A20" s="48" t="s">
        <v>206</v>
      </c>
      <c r="B20" s="48" t="s">
        <v>48</v>
      </c>
      <c r="C20" s="48"/>
      <c r="D20" s="49">
        <v>124092.3</v>
      </c>
      <c r="E20" s="49">
        <v>114650</v>
      </c>
      <c r="F20" s="50">
        <v>110000</v>
      </c>
      <c r="G20" s="51">
        <v>60000</v>
      </c>
      <c r="K20" t="s">
        <v>251</v>
      </c>
      <c r="L20" s="13">
        <v>75000</v>
      </c>
      <c r="N20" s="4" t="s">
        <v>273</v>
      </c>
      <c r="O20" s="13"/>
    </row>
    <row r="21" spans="1:15" x14ac:dyDescent="0.3">
      <c r="A21" s="48" t="s">
        <v>58</v>
      </c>
      <c r="B21" s="48" t="s">
        <v>57</v>
      </c>
      <c r="C21" s="48"/>
      <c r="D21" s="49">
        <v>340950</v>
      </c>
      <c r="E21" s="49">
        <v>367775</v>
      </c>
      <c r="F21" s="50">
        <v>415000</v>
      </c>
      <c r="G21" s="51">
        <v>370000</v>
      </c>
      <c r="J21" t="s">
        <v>252</v>
      </c>
      <c r="K21" t="s">
        <v>250</v>
      </c>
      <c r="L21" s="13">
        <v>80000</v>
      </c>
      <c r="N21" t="s">
        <v>265</v>
      </c>
      <c r="O21" s="13">
        <v>23500</v>
      </c>
    </row>
    <row r="22" spans="1:15" x14ac:dyDescent="0.3">
      <c r="A22" s="48" t="s">
        <v>142</v>
      </c>
      <c r="B22" s="48" t="s">
        <v>141</v>
      </c>
      <c r="C22" s="48"/>
      <c r="D22" s="49">
        <v>8390</v>
      </c>
      <c r="E22" s="49"/>
      <c r="F22" s="50"/>
      <c r="G22" s="41"/>
      <c r="J22" t="s">
        <v>246</v>
      </c>
      <c r="K22" t="s">
        <v>240</v>
      </c>
      <c r="L22" s="13">
        <v>150000</v>
      </c>
      <c r="N22" t="s">
        <v>266</v>
      </c>
      <c r="O22" s="13">
        <v>16000</v>
      </c>
    </row>
    <row r="23" spans="1:15" x14ac:dyDescent="0.3">
      <c r="A23" s="48" t="s">
        <v>181</v>
      </c>
      <c r="B23" s="48" t="s">
        <v>259</v>
      </c>
      <c r="C23" s="48" t="s">
        <v>224</v>
      </c>
      <c r="D23" s="49">
        <v>50100</v>
      </c>
      <c r="E23" s="49"/>
      <c r="F23" s="50"/>
      <c r="G23" s="41"/>
      <c r="K23" t="s">
        <v>248</v>
      </c>
      <c r="L23" s="13">
        <f>35150+174100+13100</f>
        <v>222350</v>
      </c>
      <c r="N23" t="s">
        <v>267</v>
      </c>
      <c r="O23" s="54">
        <v>66500</v>
      </c>
    </row>
    <row r="24" spans="1:15" x14ac:dyDescent="0.3">
      <c r="A24" s="48" t="s">
        <v>29</v>
      </c>
      <c r="B24" s="48" t="s">
        <v>56</v>
      </c>
      <c r="C24" s="48"/>
      <c r="D24" s="49">
        <v>63352</v>
      </c>
      <c r="E24" s="49">
        <v>310079.11</v>
      </c>
      <c r="F24" s="50">
        <v>358000</v>
      </c>
      <c r="G24" s="51">
        <v>60000</v>
      </c>
      <c r="J24" t="s">
        <v>257</v>
      </c>
      <c r="K24" t="s">
        <v>254</v>
      </c>
      <c r="L24" s="14">
        <v>25000</v>
      </c>
      <c r="N24" t="s">
        <v>268</v>
      </c>
      <c r="O24" s="14">
        <v>27500</v>
      </c>
    </row>
    <row r="25" spans="1:15" x14ac:dyDescent="0.3">
      <c r="A25" s="48" t="s">
        <v>30</v>
      </c>
      <c r="B25" s="48" t="s">
        <v>55</v>
      </c>
      <c r="C25" s="48"/>
      <c r="D25" s="49">
        <v>150673</v>
      </c>
      <c r="E25" s="49">
        <v>149567</v>
      </c>
      <c r="F25" s="50">
        <v>128000</v>
      </c>
      <c r="G25" s="51">
        <v>171000</v>
      </c>
      <c r="L25" s="18">
        <f ca="1">SUM(L5:L31)</f>
        <v>1269387</v>
      </c>
      <c r="O25" s="18">
        <f>SUM(O21:O24)</f>
        <v>133500</v>
      </c>
    </row>
    <row r="26" spans="1:15" x14ac:dyDescent="0.3">
      <c r="A26" s="48" t="s">
        <v>8</v>
      </c>
      <c r="B26" s="48" t="s">
        <v>260</v>
      </c>
      <c r="C26" s="48"/>
      <c r="D26" s="49">
        <v>233165</v>
      </c>
      <c r="E26" s="49">
        <v>227303.27</v>
      </c>
      <c r="F26" s="50">
        <v>20000</v>
      </c>
      <c r="G26" s="51">
        <v>826000</v>
      </c>
    </row>
    <row r="27" spans="1:15" x14ac:dyDescent="0.3">
      <c r="A27" s="48" t="s">
        <v>205</v>
      </c>
      <c r="B27" s="48" t="s">
        <v>204</v>
      </c>
      <c r="C27" s="48"/>
      <c r="D27" s="49">
        <v>6342.74</v>
      </c>
      <c r="E27" s="49">
        <v>1250</v>
      </c>
      <c r="F27" s="50"/>
      <c r="G27" s="41"/>
    </row>
    <row r="28" spans="1:15" x14ac:dyDescent="0.3">
      <c r="A28" s="48" t="s">
        <v>140</v>
      </c>
      <c r="B28" s="48" t="s">
        <v>139</v>
      </c>
      <c r="C28" s="48"/>
      <c r="D28" s="49"/>
      <c r="E28" s="49"/>
      <c r="F28" s="50"/>
      <c r="G28" s="41"/>
      <c r="J28" s="4" t="s">
        <v>274</v>
      </c>
    </row>
    <row r="29" spans="1:15" x14ac:dyDescent="0.3">
      <c r="A29" s="44"/>
      <c r="B29" s="44" t="s">
        <v>10</v>
      </c>
      <c r="C29" s="44"/>
      <c r="D29" s="45">
        <f>D17+D6</f>
        <v>3312919.38</v>
      </c>
      <c r="E29" s="45">
        <v>2074997.26</v>
      </c>
      <c r="F29" s="46">
        <f>F17+F6</f>
        <v>2376500</v>
      </c>
      <c r="G29" s="47">
        <f>G17+G6</f>
        <v>3208000</v>
      </c>
      <c r="J29" t="s">
        <v>265</v>
      </c>
      <c r="K29" t="s">
        <v>275</v>
      </c>
      <c r="L29" s="13">
        <v>6995</v>
      </c>
    </row>
    <row r="30" spans="1:15" x14ac:dyDescent="0.3">
      <c r="A30" s="44"/>
      <c r="B30" s="44"/>
      <c r="C30" s="44"/>
      <c r="D30" s="45"/>
      <c r="E30" s="45"/>
      <c r="F30" s="46"/>
      <c r="G30" s="47"/>
      <c r="K30" t="s">
        <v>276</v>
      </c>
      <c r="L30" s="13">
        <f>21238+1999</f>
        <v>23237</v>
      </c>
    </row>
    <row r="31" spans="1:15" x14ac:dyDescent="0.3">
      <c r="A31" s="44"/>
      <c r="B31" s="44"/>
      <c r="C31" s="44"/>
      <c r="D31" s="45"/>
      <c r="E31" s="45"/>
      <c r="F31" s="46"/>
      <c r="G31" s="47"/>
      <c r="K31" t="s">
        <v>277</v>
      </c>
      <c r="L31" s="13">
        <f>649+229+229</f>
        <v>1107</v>
      </c>
    </row>
    <row r="32" spans="1:15" x14ac:dyDescent="0.3">
      <c r="A32" s="44"/>
      <c r="B32" s="44"/>
      <c r="C32" s="44"/>
      <c r="D32" s="45"/>
      <c r="E32" s="45"/>
      <c r="F32" s="46"/>
      <c r="G32" s="47"/>
      <c r="J32" t="s">
        <v>268</v>
      </c>
      <c r="K32" t="s">
        <v>278</v>
      </c>
      <c r="L32" s="14">
        <v>549</v>
      </c>
    </row>
    <row r="33" spans="1:17" x14ac:dyDescent="0.3">
      <c r="A33" s="44"/>
      <c r="B33" s="44"/>
      <c r="C33" s="44"/>
      <c r="D33" s="45"/>
      <c r="E33" s="45"/>
      <c r="F33" s="46"/>
      <c r="G33" s="47"/>
      <c r="L33" s="18">
        <f>SUM(L29:L32)</f>
        <v>31888</v>
      </c>
    </row>
    <row r="34" spans="1:17" x14ac:dyDescent="0.3">
      <c r="A34" s="41"/>
      <c r="B34" s="41"/>
      <c r="C34" s="41"/>
      <c r="D34" s="64" t="s">
        <v>154</v>
      </c>
      <c r="E34" s="64"/>
      <c r="F34" s="64" t="s">
        <v>25</v>
      </c>
      <c r="G34" s="64"/>
    </row>
    <row r="35" spans="1:17" x14ac:dyDescent="0.3">
      <c r="A35" s="43" t="s">
        <v>3</v>
      </c>
      <c r="B35" s="43" t="s">
        <v>4</v>
      </c>
      <c r="C35" s="43" t="s">
        <v>220</v>
      </c>
      <c r="D35" s="42" t="s">
        <v>5</v>
      </c>
      <c r="E35" s="42" t="s">
        <v>6</v>
      </c>
      <c r="F35" s="42">
        <v>2022</v>
      </c>
      <c r="G35" s="42">
        <v>2023</v>
      </c>
      <c r="J35" s="4" t="s">
        <v>279</v>
      </c>
      <c r="N35" s="4" t="s">
        <v>294</v>
      </c>
    </row>
    <row r="36" spans="1:17" x14ac:dyDescent="0.3">
      <c r="A36" s="44"/>
      <c r="B36" s="44" t="s">
        <v>136</v>
      </c>
      <c r="C36" s="44"/>
      <c r="D36" s="45">
        <v>147443.37</v>
      </c>
      <c r="E36" s="45">
        <v>40427.019999999997</v>
      </c>
      <c r="F36" s="46">
        <f>SUM(F37:F40)</f>
        <v>316328</v>
      </c>
      <c r="G36" s="47">
        <f>SUM(G37:G38)</f>
        <v>96000</v>
      </c>
      <c r="J36" t="s">
        <v>265</v>
      </c>
      <c r="K36" t="s">
        <v>280</v>
      </c>
      <c r="L36" s="13">
        <f>72497.1+2502.9</f>
        <v>75000</v>
      </c>
      <c r="N36" t="s">
        <v>295</v>
      </c>
      <c r="O36" s="13">
        <f>80374+92044+133605</f>
        <v>306023</v>
      </c>
    </row>
    <row r="37" spans="1:17" x14ac:dyDescent="0.3">
      <c r="A37" s="48" t="s">
        <v>135</v>
      </c>
      <c r="B37" s="48" t="s">
        <v>134</v>
      </c>
      <c r="C37" s="48" t="s">
        <v>224</v>
      </c>
      <c r="D37" s="49">
        <v>76083.8</v>
      </c>
      <c r="E37" s="49">
        <v>29222.02</v>
      </c>
      <c r="F37" s="50">
        <v>85000</v>
      </c>
      <c r="G37" s="51">
        <v>43000</v>
      </c>
      <c r="K37" t="s">
        <v>312</v>
      </c>
      <c r="L37" s="13">
        <v>1378.4</v>
      </c>
      <c r="N37" t="s">
        <v>296</v>
      </c>
      <c r="O37" s="13">
        <f>75000+69967</f>
        <v>144967</v>
      </c>
    </row>
    <row r="38" spans="1:17" x14ac:dyDescent="0.3">
      <c r="A38" s="48" t="s">
        <v>133</v>
      </c>
      <c r="B38" s="48" t="s">
        <v>132</v>
      </c>
      <c r="C38" s="48"/>
      <c r="D38" s="49">
        <v>71359.570000000007</v>
      </c>
      <c r="E38" s="49"/>
      <c r="F38" s="50">
        <v>124500</v>
      </c>
      <c r="G38" s="51">
        <v>53000</v>
      </c>
      <c r="K38" t="s">
        <v>281</v>
      </c>
      <c r="L38" s="13">
        <f>1740</f>
        <v>1740</v>
      </c>
      <c r="N38" t="s">
        <v>297</v>
      </c>
      <c r="O38" s="13">
        <f>1579.6+5547+142.8+1260.4+561.3+2128.5+1992+1139.2+1033.8+948+79.9-6220</f>
        <v>10192.5</v>
      </c>
    </row>
    <row r="39" spans="1:17" x14ac:dyDescent="0.3">
      <c r="A39" s="48" t="s">
        <v>169</v>
      </c>
      <c r="B39" s="48" t="s">
        <v>168</v>
      </c>
      <c r="C39" s="48"/>
      <c r="D39" s="49"/>
      <c r="E39" s="49">
        <v>11205</v>
      </c>
      <c r="F39" s="50">
        <v>60000</v>
      </c>
      <c r="G39" s="41"/>
      <c r="J39" t="s">
        <v>266</v>
      </c>
      <c r="K39" t="s">
        <v>282</v>
      </c>
      <c r="L39" s="13">
        <v>5094.12</v>
      </c>
      <c r="N39" t="s">
        <v>298</v>
      </c>
      <c r="O39" s="13">
        <f>4640+6978.5</f>
        <v>11618.5</v>
      </c>
    </row>
    <row r="40" spans="1:17" x14ac:dyDescent="0.3">
      <c r="A40" s="48" t="s">
        <v>203</v>
      </c>
      <c r="B40" s="48" t="s">
        <v>202</v>
      </c>
      <c r="C40" s="48"/>
      <c r="D40" s="49">
        <v>0</v>
      </c>
      <c r="E40" s="49"/>
      <c r="F40" s="50">
        <v>46828</v>
      </c>
      <c r="G40" s="41"/>
      <c r="J40" t="s">
        <v>267</v>
      </c>
      <c r="K40" t="s">
        <v>283</v>
      </c>
      <c r="L40" s="13">
        <v>7398.3</v>
      </c>
      <c r="N40" t="s">
        <v>299</v>
      </c>
      <c r="O40" s="14">
        <v>10418</v>
      </c>
    </row>
    <row r="41" spans="1:17" x14ac:dyDescent="0.3">
      <c r="A41" s="44"/>
      <c r="B41" s="44" t="s">
        <v>11</v>
      </c>
      <c r="C41" s="44"/>
      <c r="D41" s="45">
        <f>SUM(D42:D49)</f>
        <v>987981</v>
      </c>
      <c r="E41" s="45">
        <v>667137.89</v>
      </c>
      <c r="F41" s="46">
        <f>SUM(F42:F49)</f>
        <v>705000</v>
      </c>
      <c r="G41" s="52">
        <f>SUM(G42:G49)</f>
        <v>1118000</v>
      </c>
      <c r="J41" t="s">
        <v>268</v>
      </c>
      <c r="K41" t="s">
        <v>284</v>
      </c>
      <c r="L41" s="13">
        <v>20495.3</v>
      </c>
      <c r="O41" s="18">
        <f>SUM(O36:O40)</f>
        <v>483219</v>
      </c>
      <c r="Q41" s="56"/>
    </row>
    <row r="42" spans="1:17" x14ac:dyDescent="0.3">
      <c r="A42" s="48" t="s">
        <v>131</v>
      </c>
      <c r="B42" s="48" t="s">
        <v>130</v>
      </c>
      <c r="C42" s="48"/>
      <c r="D42" s="49">
        <v>0</v>
      </c>
      <c r="E42" s="49">
        <v>20775</v>
      </c>
      <c r="F42" s="50">
        <v>90000</v>
      </c>
      <c r="G42" s="41"/>
      <c r="K42" t="s">
        <v>241</v>
      </c>
      <c r="L42" s="13">
        <f>233+349.5+1567.6+808.9</f>
        <v>2959</v>
      </c>
      <c r="O42" s="13"/>
    </row>
    <row r="43" spans="1:17" x14ac:dyDescent="0.3">
      <c r="A43" s="48" t="s">
        <v>12</v>
      </c>
      <c r="B43" s="48" t="s">
        <v>13</v>
      </c>
      <c r="C43" s="48" t="s">
        <v>225</v>
      </c>
      <c r="D43" s="49">
        <v>832261</v>
      </c>
      <c r="E43" s="49">
        <v>571474.80000000005</v>
      </c>
      <c r="F43" s="50">
        <v>459000</v>
      </c>
      <c r="G43" s="51">
        <v>890000</v>
      </c>
      <c r="K43" t="s">
        <v>285</v>
      </c>
      <c r="L43" s="13">
        <f>166784-L41-L42</f>
        <v>143329.70000000001</v>
      </c>
      <c r="O43" s="13"/>
    </row>
    <row r="44" spans="1:17" x14ac:dyDescent="0.3">
      <c r="A44" s="48" t="s">
        <v>36</v>
      </c>
      <c r="B44" s="48" t="s">
        <v>41</v>
      </c>
      <c r="C44" s="48" t="s">
        <v>226</v>
      </c>
      <c r="D44" s="49">
        <v>133500</v>
      </c>
      <c r="E44" s="49">
        <v>56500</v>
      </c>
      <c r="F44" s="50">
        <v>156000</v>
      </c>
      <c r="G44" s="51">
        <v>181000</v>
      </c>
      <c r="J44" t="s">
        <v>272</v>
      </c>
      <c r="K44" t="s">
        <v>257</v>
      </c>
      <c r="L44" s="13">
        <v>846</v>
      </c>
      <c r="N44" s="4" t="s">
        <v>300</v>
      </c>
    </row>
    <row r="45" spans="1:17" x14ac:dyDescent="0.3">
      <c r="A45" s="48" t="s">
        <v>129</v>
      </c>
      <c r="B45" s="48" t="s">
        <v>221</v>
      </c>
      <c r="C45" s="48"/>
      <c r="D45" s="49"/>
      <c r="E45" s="49">
        <v>188.09</v>
      </c>
      <c r="F45" s="50"/>
      <c r="G45" s="41"/>
      <c r="J45" t="s">
        <v>269</v>
      </c>
      <c r="K45" t="s">
        <v>286</v>
      </c>
      <c r="L45" s="13">
        <v>93984</v>
      </c>
      <c r="N45" t="s">
        <v>266</v>
      </c>
      <c r="O45" s="13">
        <v>24090</v>
      </c>
    </row>
    <row r="46" spans="1:17" x14ac:dyDescent="0.3">
      <c r="A46" s="48" t="s">
        <v>127</v>
      </c>
      <c r="B46" s="48" t="s">
        <v>126</v>
      </c>
      <c r="C46" s="48"/>
      <c r="D46" s="49">
        <v>1400</v>
      </c>
      <c r="E46" s="49"/>
      <c r="F46" s="50"/>
      <c r="G46" s="51">
        <v>2000</v>
      </c>
      <c r="K46" t="s">
        <v>289</v>
      </c>
      <c r="L46" s="13">
        <f>1730.25</f>
        <v>1730.25</v>
      </c>
      <c r="N46" t="s">
        <v>267</v>
      </c>
      <c r="O46" s="13">
        <v>67188</v>
      </c>
    </row>
    <row r="47" spans="1:17" x14ac:dyDescent="0.3">
      <c r="A47" s="48" t="s">
        <v>125</v>
      </c>
      <c r="B47" s="48" t="s">
        <v>124</v>
      </c>
      <c r="C47" s="48"/>
      <c r="D47" s="49">
        <v>0</v>
      </c>
      <c r="E47" s="49"/>
      <c r="F47" s="50"/>
      <c r="G47" s="51">
        <v>2000</v>
      </c>
      <c r="K47" t="s">
        <v>287</v>
      </c>
      <c r="L47" s="13">
        <v>2588</v>
      </c>
      <c r="N47" t="s">
        <v>268</v>
      </c>
      <c r="O47" s="13">
        <v>97659</v>
      </c>
    </row>
    <row r="48" spans="1:17" x14ac:dyDescent="0.3">
      <c r="A48" s="48" t="s">
        <v>123</v>
      </c>
      <c r="B48" s="48" t="s">
        <v>122</v>
      </c>
      <c r="C48" s="48"/>
      <c r="D48" s="49">
        <v>31320</v>
      </c>
      <c r="E48" s="49"/>
      <c r="F48" s="50"/>
      <c r="G48" s="51">
        <v>42000</v>
      </c>
      <c r="K48" t="s">
        <v>288</v>
      </c>
      <c r="L48" s="13">
        <v>1495.1</v>
      </c>
      <c r="N48" t="s">
        <v>269</v>
      </c>
      <c r="O48" s="14">
        <v>3250</v>
      </c>
    </row>
    <row r="49" spans="1:17" x14ac:dyDescent="0.3">
      <c r="A49" s="48" t="s">
        <v>121</v>
      </c>
      <c r="B49" s="48" t="s">
        <v>120</v>
      </c>
      <c r="C49" s="48"/>
      <c r="D49" s="49">
        <v>-10500</v>
      </c>
      <c r="E49" s="49">
        <v>18200</v>
      </c>
      <c r="F49" s="50"/>
      <c r="G49" s="51">
        <v>1000</v>
      </c>
      <c r="K49" t="s">
        <v>290</v>
      </c>
      <c r="L49" s="13">
        <v>1500</v>
      </c>
      <c r="O49" s="18">
        <f ca="1">SUM(O45:O49)</f>
        <v>192187</v>
      </c>
    </row>
    <row r="50" spans="1:17" x14ac:dyDescent="0.3">
      <c r="A50" s="44"/>
      <c r="B50" s="44" t="s">
        <v>14</v>
      </c>
      <c r="C50" s="44"/>
      <c r="D50" s="45">
        <f>SUM(D51:D96)</f>
        <v>1807518.1400000006</v>
      </c>
      <c r="E50" s="45">
        <v>1230692.5900000001</v>
      </c>
      <c r="F50" s="46">
        <f>SUM(F51:F96)</f>
        <v>1673694</v>
      </c>
      <c r="G50" s="52">
        <f>SUM(G51:G96)-2023</f>
        <v>2589500</v>
      </c>
      <c r="K50" t="s">
        <v>257</v>
      </c>
      <c r="L50" s="13">
        <f>418.7+167.76</f>
        <v>586.46</v>
      </c>
    </row>
    <row r="51" spans="1:17" x14ac:dyDescent="0.3">
      <c r="A51" s="48" t="s">
        <v>172</v>
      </c>
      <c r="B51" s="48" t="s">
        <v>216</v>
      </c>
      <c r="C51" s="48"/>
      <c r="D51" s="49"/>
      <c r="E51" s="49">
        <v>12000</v>
      </c>
      <c r="F51" s="41"/>
      <c r="G51" s="41"/>
      <c r="K51" t="s">
        <v>292</v>
      </c>
      <c r="L51" s="13">
        <v>28209.3</v>
      </c>
      <c r="O51" s="13"/>
    </row>
    <row r="52" spans="1:17" x14ac:dyDescent="0.3">
      <c r="A52" s="48" t="s">
        <v>86</v>
      </c>
      <c r="B52" s="48" t="s">
        <v>85</v>
      </c>
      <c r="C52" s="48"/>
      <c r="D52" s="49">
        <v>23725</v>
      </c>
      <c r="E52" s="49"/>
      <c r="F52" s="50">
        <v>10000</v>
      </c>
      <c r="G52" s="51">
        <v>25000</v>
      </c>
      <c r="K52" t="s">
        <v>293</v>
      </c>
      <c r="L52" s="13">
        <v>4604</v>
      </c>
      <c r="N52" s="4" t="s">
        <v>302</v>
      </c>
      <c r="O52" s="13"/>
    </row>
    <row r="53" spans="1:17" x14ac:dyDescent="0.3">
      <c r="A53" s="48" t="s">
        <v>119</v>
      </c>
      <c r="B53" s="48" t="s">
        <v>118</v>
      </c>
      <c r="C53" s="48"/>
      <c r="D53" s="49">
        <v>2657</v>
      </c>
      <c r="E53" s="49"/>
      <c r="F53" s="50">
        <v>60000</v>
      </c>
      <c r="G53" s="51">
        <v>115000</v>
      </c>
      <c r="J53" t="s">
        <v>270</v>
      </c>
      <c r="K53" t="s">
        <v>291</v>
      </c>
      <c r="L53" s="14">
        <v>21000</v>
      </c>
      <c r="N53" t="s">
        <v>265</v>
      </c>
      <c r="O53" s="13">
        <v>455</v>
      </c>
      <c r="P53" t="s">
        <v>304</v>
      </c>
    </row>
    <row r="54" spans="1:17" x14ac:dyDescent="0.3">
      <c r="A54" s="48" t="s">
        <v>185</v>
      </c>
      <c r="B54" s="48" t="s">
        <v>201</v>
      </c>
      <c r="C54" s="48"/>
      <c r="D54" s="49">
        <v>10339.24</v>
      </c>
      <c r="E54" s="49">
        <v>9710.08</v>
      </c>
      <c r="F54" s="50"/>
      <c r="G54" s="51">
        <v>15000</v>
      </c>
      <c r="L54" s="18">
        <f>SUM(L36:L53)-1</f>
        <v>413936.93</v>
      </c>
      <c r="N54" t="s">
        <v>266</v>
      </c>
      <c r="O54" s="13">
        <f>165+580+4963+6935.1+2337.5+1246.25+9428.45+4165+611</f>
        <v>30431.300000000003</v>
      </c>
      <c r="P54" t="s">
        <v>303</v>
      </c>
    </row>
    <row r="55" spans="1:17" x14ac:dyDescent="0.3">
      <c r="A55" s="48" t="s">
        <v>200</v>
      </c>
      <c r="B55" s="48" t="s">
        <v>199</v>
      </c>
      <c r="C55" s="48"/>
      <c r="D55" s="49">
        <v>4533.72</v>
      </c>
      <c r="E55" s="49">
        <v>585.63</v>
      </c>
      <c r="F55" s="50">
        <v>5000</v>
      </c>
      <c r="G55" s="51">
        <v>4000</v>
      </c>
      <c r="O55" s="13">
        <f>951+468.2+259.8+1600</f>
        <v>3279</v>
      </c>
      <c r="P55" t="s">
        <v>304</v>
      </c>
    </row>
    <row r="56" spans="1:17" x14ac:dyDescent="0.3">
      <c r="A56" s="48" t="s">
        <v>73</v>
      </c>
      <c r="B56" s="48" t="s">
        <v>72</v>
      </c>
      <c r="C56" s="48"/>
      <c r="D56" s="49">
        <v>7518.8</v>
      </c>
      <c r="E56" s="49">
        <v>15259.96</v>
      </c>
      <c r="F56" s="50">
        <v>1000</v>
      </c>
      <c r="G56" s="51">
        <v>4000</v>
      </c>
      <c r="N56" t="s">
        <v>267</v>
      </c>
      <c r="O56" s="13">
        <v>46828</v>
      </c>
      <c r="P56" t="s">
        <v>304</v>
      </c>
    </row>
    <row r="57" spans="1:17" x14ac:dyDescent="0.3">
      <c r="A57" s="48" t="s">
        <v>198</v>
      </c>
      <c r="B57" s="48" t="s">
        <v>197</v>
      </c>
      <c r="C57" s="48"/>
      <c r="D57" s="49">
        <v>27799.360000000001</v>
      </c>
      <c r="E57" s="49"/>
      <c r="F57" s="50"/>
      <c r="G57" s="51">
        <v>25000</v>
      </c>
      <c r="N57" t="s">
        <v>268</v>
      </c>
      <c r="O57" s="14">
        <v>569</v>
      </c>
      <c r="P57" t="s">
        <v>304</v>
      </c>
    </row>
    <row r="58" spans="1:17" x14ac:dyDescent="0.3">
      <c r="A58" s="48" t="s">
        <v>117</v>
      </c>
      <c r="B58" s="48" t="s">
        <v>116</v>
      </c>
      <c r="C58" s="48"/>
      <c r="D58" s="49">
        <v>10000</v>
      </c>
      <c r="E58" s="49"/>
      <c r="F58" s="50"/>
      <c r="G58" s="51">
        <v>20000</v>
      </c>
      <c r="O58" s="18">
        <f ca="1">SUM(O53:O58)</f>
        <v>81562.3</v>
      </c>
    </row>
    <row r="59" spans="1:17" x14ac:dyDescent="0.3">
      <c r="A59" s="48" t="s">
        <v>77</v>
      </c>
      <c r="B59" s="48" t="s">
        <v>78</v>
      </c>
      <c r="C59" s="48" t="s">
        <v>227</v>
      </c>
      <c r="D59" s="49">
        <v>31888</v>
      </c>
      <c r="E59" s="49">
        <v>4124</v>
      </c>
      <c r="F59" s="50">
        <v>104000</v>
      </c>
      <c r="G59" s="51">
        <v>152000</v>
      </c>
    </row>
    <row r="60" spans="1:17" x14ac:dyDescent="0.3">
      <c r="A60" s="48" t="s">
        <v>71</v>
      </c>
      <c r="B60" s="48" t="s">
        <v>70</v>
      </c>
      <c r="C60" s="48"/>
      <c r="D60" s="49">
        <v>36400</v>
      </c>
      <c r="E60" s="49">
        <v>21927</v>
      </c>
      <c r="F60" s="50">
        <v>30000</v>
      </c>
      <c r="G60" s="51">
        <v>15500</v>
      </c>
      <c r="Q60" s="56"/>
    </row>
    <row r="61" spans="1:17" x14ac:dyDescent="0.3">
      <c r="A61" s="48" t="s">
        <v>196</v>
      </c>
      <c r="B61" s="48" t="s">
        <v>195</v>
      </c>
      <c r="C61" s="48"/>
      <c r="D61" s="49"/>
      <c r="E61" s="49">
        <v>16808.59</v>
      </c>
      <c r="F61" s="50">
        <v>10000</v>
      </c>
      <c r="G61" s="41">
        <v>20000</v>
      </c>
      <c r="O61" s="13"/>
    </row>
    <row r="62" spans="1:17" x14ac:dyDescent="0.3">
      <c r="A62" s="48" t="s">
        <v>15</v>
      </c>
      <c r="B62" s="48" t="s">
        <v>16</v>
      </c>
      <c r="C62" s="48" t="s">
        <v>228</v>
      </c>
      <c r="D62" s="49">
        <v>413937.43</v>
      </c>
      <c r="E62" s="49">
        <v>516620.72</v>
      </c>
      <c r="F62" s="50">
        <v>286172</v>
      </c>
      <c r="G62" s="51">
        <v>325000</v>
      </c>
      <c r="O62" s="13"/>
    </row>
    <row r="63" spans="1:17" x14ac:dyDescent="0.3">
      <c r="A63" s="48" t="s">
        <v>79</v>
      </c>
      <c r="B63" s="48" t="s">
        <v>115</v>
      </c>
      <c r="C63" s="48" t="s">
        <v>229</v>
      </c>
      <c r="D63" s="49">
        <v>483218.8</v>
      </c>
      <c r="E63" s="49">
        <v>53335.4</v>
      </c>
      <c r="F63" s="50">
        <v>370000</v>
      </c>
      <c r="G63" s="51">
        <v>125000</v>
      </c>
      <c r="O63" s="13"/>
    </row>
    <row r="64" spans="1:17" x14ac:dyDescent="0.3">
      <c r="A64" s="48" t="s">
        <v>194</v>
      </c>
      <c r="B64" s="48" t="s">
        <v>193</v>
      </c>
      <c r="C64" s="48"/>
      <c r="D64" s="49">
        <v>110227.5</v>
      </c>
      <c r="E64" s="49"/>
      <c r="F64" s="50"/>
      <c r="G64" s="51">
        <v>90000</v>
      </c>
      <c r="O64" s="13"/>
    </row>
    <row r="65" spans="1:15" x14ac:dyDescent="0.3">
      <c r="A65" s="48" t="s">
        <v>114</v>
      </c>
      <c r="B65" s="48" t="s">
        <v>113</v>
      </c>
      <c r="C65" s="48"/>
      <c r="D65" s="49">
        <v>2437.5</v>
      </c>
      <c r="E65" s="49">
        <v>79410</v>
      </c>
      <c r="F65" s="50">
        <v>125000</v>
      </c>
      <c r="G65" s="51">
        <v>25000</v>
      </c>
      <c r="O65" s="13"/>
    </row>
    <row r="66" spans="1:15" x14ac:dyDescent="0.3">
      <c r="A66" s="48" t="s">
        <v>174</v>
      </c>
      <c r="B66" s="48" t="s">
        <v>215</v>
      </c>
      <c r="C66" s="48"/>
      <c r="D66" s="49"/>
      <c r="E66" s="49">
        <v>12780</v>
      </c>
      <c r="F66" s="50"/>
      <c r="G66" s="51">
        <v>2000</v>
      </c>
      <c r="O66" s="13"/>
    </row>
    <row r="67" spans="1:15" x14ac:dyDescent="0.3">
      <c r="A67" s="48" t="s">
        <v>54</v>
      </c>
      <c r="B67" s="48" t="s">
        <v>53</v>
      </c>
      <c r="C67" s="48"/>
      <c r="D67" s="49">
        <v>9327.7900000000009</v>
      </c>
      <c r="E67" s="49">
        <v>5090</v>
      </c>
      <c r="F67" s="50">
        <v>7000</v>
      </c>
      <c r="G67" s="51">
        <v>40000</v>
      </c>
      <c r="O67" s="53"/>
    </row>
    <row r="68" spans="1:15" x14ac:dyDescent="0.3">
      <c r="A68" s="41"/>
      <c r="B68" s="41"/>
      <c r="C68" s="41"/>
      <c r="D68" s="43" t="s">
        <v>154</v>
      </c>
      <c r="E68" s="43"/>
      <c r="F68" s="64" t="s">
        <v>25</v>
      </c>
      <c r="G68" s="64"/>
    </row>
    <row r="69" spans="1:15" x14ac:dyDescent="0.3">
      <c r="A69" s="43" t="s">
        <v>3</v>
      </c>
      <c r="B69" s="43" t="s">
        <v>4</v>
      </c>
      <c r="C69" s="43" t="s">
        <v>220</v>
      </c>
      <c r="D69" s="42" t="s">
        <v>5</v>
      </c>
      <c r="E69" s="42" t="s">
        <v>6</v>
      </c>
      <c r="F69" s="42">
        <v>2022</v>
      </c>
      <c r="G69" s="42">
        <v>2023</v>
      </c>
    </row>
    <row r="70" spans="1:15" x14ac:dyDescent="0.3">
      <c r="A70" s="48" t="s">
        <v>81</v>
      </c>
      <c r="B70" s="48" t="s">
        <v>112</v>
      </c>
      <c r="C70" s="48"/>
      <c r="D70" s="49">
        <v>8433.06</v>
      </c>
      <c r="E70" s="49">
        <v>11588.9</v>
      </c>
      <c r="F70" s="50">
        <v>13500</v>
      </c>
      <c r="G70" s="51">
        <v>14500</v>
      </c>
    </row>
    <row r="71" spans="1:15" x14ac:dyDescent="0.3">
      <c r="A71" s="48" t="s">
        <v>37</v>
      </c>
      <c r="B71" s="48" t="s">
        <v>40</v>
      </c>
      <c r="C71" s="48"/>
      <c r="D71" s="49">
        <v>40723.370000000003</v>
      </c>
      <c r="E71" s="49">
        <v>66422.53</v>
      </c>
      <c r="F71" s="50">
        <v>86400</v>
      </c>
      <c r="G71" s="51">
        <v>115500</v>
      </c>
    </row>
    <row r="72" spans="1:15" x14ac:dyDescent="0.3">
      <c r="A72" s="48" t="s">
        <v>69</v>
      </c>
      <c r="B72" s="48" t="s">
        <v>68</v>
      </c>
      <c r="C72" s="48"/>
      <c r="D72" s="49">
        <v>2264</v>
      </c>
      <c r="E72" s="49">
        <v>11804.1</v>
      </c>
      <c r="F72" s="50">
        <v>12500</v>
      </c>
      <c r="G72" s="51">
        <v>7000</v>
      </c>
    </row>
    <row r="73" spans="1:15" x14ac:dyDescent="0.3">
      <c r="A73" s="48" t="s">
        <v>111</v>
      </c>
      <c r="B73" s="48" t="s">
        <v>110</v>
      </c>
      <c r="C73" s="48"/>
      <c r="D73" s="49">
        <v>5299.73</v>
      </c>
      <c r="E73" s="49">
        <v>4188</v>
      </c>
      <c r="F73" s="50"/>
      <c r="G73" s="51">
        <v>15000</v>
      </c>
    </row>
    <row r="74" spans="1:15" x14ac:dyDescent="0.3">
      <c r="A74" s="48" t="s">
        <v>176</v>
      </c>
      <c r="B74" s="48" t="s">
        <v>177</v>
      </c>
      <c r="C74" s="48"/>
      <c r="D74" s="49">
        <v>3215</v>
      </c>
      <c r="E74" s="49">
        <v>2730</v>
      </c>
      <c r="F74" s="50"/>
      <c r="G74" s="51">
        <v>4000</v>
      </c>
    </row>
    <row r="75" spans="1:15" x14ac:dyDescent="0.3">
      <c r="A75" s="48" t="s">
        <v>161</v>
      </c>
      <c r="B75" s="48" t="s">
        <v>160</v>
      </c>
      <c r="C75" s="48"/>
      <c r="D75" s="49"/>
      <c r="E75" s="49"/>
      <c r="F75" s="50">
        <v>42900</v>
      </c>
      <c r="G75" s="51">
        <v>700000</v>
      </c>
    </row>
    <row r="76" spans="1:15" x14ac:dyDescent="0.3">
      <c r="A76" s="48" t="s">
        <v>17</v>
      </c>
      <c r="B76" s="48" t="s">
        <v>18</v>
      </c>
      <c r="C76" s="48"/>
      <c r="D76" s="49">
        <v>33889.18</v>
      </c>
      <c r="E76" s="49">
        <v>31298.42</v>
      </c>
      <c r="F76" s="50">
        <v>58000</v>
      </c>
      <c r="G76" s="51">
        <v>53000</v>
      </c>
    </row>
    <row r="77" spans="1:15" x14ac:dyDescent="0.3">
      <c r="A77" s="48" t="s">
        <v>109</v>
      </c>
      <c r="B77" s="48" t="s">
        <v>108</v>
      </c>
      <c r="C77" s="48"/>
      <c r="D77" s="49">
        <v>6016.34</v>
      </c>
      <c r="E77" s="49"/>
      <c r="F77" s="50"/>
      <c r="G77" s="51">
        <v>9000</v>
      </c>
    </row>
    <row r="78" spans="1:15" x14ac:dyDescent="0.3">
      <c r="A78" s="48" t="s">
        <v>84</v>
      </c>
      <c r="B78" s="48" t="s">
        <v>83</v>
      </c>
      <c r="C78" s="48"/>
      <c r="D78" s="49">
        <v>7137.6</v>
      </c>
      <c r="E78" s="49">
        <v>32</v>
      </c>
      <c r="F78" s="50"/>
      <c r="G78" s="51">
        <v>4500</v>
      </c>
    </row>
    <row r="79" spans="1:15" x14ac:dyDescent="0.3">
      <c r="A79" s="48" t="s">
        <v>178</v>
      </c>
      <c r="B79" s="48" t="s">
        <v>179</v>
      </c>
      <c r="C79" s="48"/>
      <c r="D79" s="49"/>
      <c r="E79" s="49">
        <v>3960</v>
      </c>
      <c r="F79" s="50"/>
      <c r="G79" s="41"/>
    </row>
    <row r="80" spans="1:15" x14ac:dyDescent="0.3">
      <c r="A80" s="48" t="s">
        <v>52</v>
      </c>
      <c r="B80" s="48" t="s">
        <v>51</v>
      </c>
      <c r="C80" s="48"/>
      <c r="D80" s="49">
        <v>0</v>
      </c>
      <c r="E80" s="49">
        <v>3689.7</v>
      </c>
      <c r="F80" s="50"/>
      <c r="G80" s="41"/>
    </row>
    <row r="81" spans="1:7" x14ac:dyDescent="0.3">
      <c r="A81" s="48" t="s">
        <v>107</v>
      </c>
      <c r="B81" s="48" t="s">
        <v>106</v>
      </c>
      <c r="C81" s="48"/>
      <c r="D81" s="49">
        <v>2514.5</v>
      </c>
      <c r="E81" s="49"/>
      <c r="F81" s="50"/>
      <c r="G81" s="51">
        <v>2000</v>
      </c>
    </row>
    <row r="82" spans="1:7" x14ac:dyDescent="0.3">
      <c r="A82" s="48" t="s">
        <v>19</v>
      </c>
      <c r="B82" s="48" t="s">
        <v>20</v>
      </c>
      <c r="C82" s="48"/>
      <c r="D82" s="49">
        <v>29194.87</v>
      </c>
      <c r="E82" s="49">
        <v>51107.1</v>
      </c>
      <c r="F82" s="50">
        <v>12000</v>
      </c>
      <c r="G82" s="51">
        <v>55500</v>
      </c>
    </row>
    <row r="83" spans="1:7" x14ac:dyDescent="0.3">
      <c r="A83" s="48" t="s">
        <v>105</v>
      </c>
      <c r="B83" s="48" t="s">
        <v>104</v>
      </c>
      <c r="C83" s="48"/>
      <c r="D83" s="49">
        <v>46875</v>
      </c>
      <c r="E83" s="49">
        <v>15147.38</v>
      </c>
      <c r="F83" s="50"/>
      <c r="G83" s="51">
        <v>15000</v>
      </c>
    </row>
    <row r="84" spans="1:7" x14ac:dyDescent="0.3">
      <c r="A84" s="48" t="s">
        <v>49</v>
      </c>
      <c r="B84" s="48" t="s">
        <v>48</v>
      </c>
      <c r="C84" s="48"/>
      <c r="D84" s="49">
        <v>6100</v>
      </c>
      <c r="E84" s="49">
        <v>5840</v>
      </c>
      <c r="F84" s="50">
        <v>6000</v>
      </c>
      <c r="G84" s="51"/>
    </row>
    <row r="85" spans="1:7" x14ac:dyDescent="0.3">
      <c r="A85" s="48" t="s">
        <v>47</v>
      </c>
      <c r="B85" s="48" t="s">
        <v>46</v>
      </c>
      <c r="C85" s="48" t="s">
        <v>223</v>
      </c>
      <c r="D85" s="49">
        <v>192187</v>
      </c>
      <c r="E85" s="49">
        <v>113117</v>
      </c>
      <c r="F85" s="50">
        <v>225000</v>
      </c>
      <c r="G85" s="51">
        <v>356000</v>
      </c>
    </row>
    <row r="86" spans="1:7" x14ac:dyDescent="0.3">
      <c r="A86" s="48" t="s">
        <v>38</v>
      </c>
      <c r="B86" s="48" t="s">
        <v>66</v>
      </c>
      <c r="C86" s="48" t="s">
        <v>230</v>
      </c>
      <c r="D86" s="49">
        <v>81562.2</v>
      </c>
      <c r="E86" s="49">
        <v>500</v>
      </c>
      <c r="F86" s="50"/>
      <c r="G86" s="51">
        <v>22000</v>
      </c>
    </row>
    <row r="87" spans="1:7" x14ac:dyDescent="0.3">
      <c r="A87" s="48" t="s">
        <v>21</v>
      </c>
      <c r="B87" s="48" t="s">
        <v>22</v>
      </c>
      <c r="C87" s="48"/>
      <c r="D87" s="49">
        <v>31916.36</v>
      </c>
      <c r="E87" s="49"/>
      <c r="F87" s="50">
        <v>35000</v>
      </c>
      <c r="G87" s="51">
        <v>55500</v>
      </c>
    </row>
    <row r="88" spans="1:7" x14ac:dyDescent="0.3">
      <c r="A88" s="48" t="s">
        <v>103</v>
      </c>
      <c r="B88" s="48" t="s">
        <v>102</v>
      </c>
      <c r="C88" s="48"/>
      <c r="D88" s="49">
        <v>4660</v>
      </c>
      <c r="E88" s="49"/>
      <c r="F88" s="50">
        <v>19500</v>
      </c>
      <c r="G88" s="51">
        <v>13000</v>
      </c>
    </row>
    <row r="89" spans="1:7" x14ac:dyDescent="0.3">
      <c r="A89" s="48" t="s">
        <v>101</v>
      </c>
      <c r="B89" s="48" t="s">
        <v>305</v>
      </c>
      <c r="C89" s="48"/>
      <c r="D89" s="49">
        <v>45490</v>
      </c>
      <c r="E89" s="49">
        <v>122730</v>
      </c>
      <c r="F89" s="50"/>
      <c r="G89" s="51">
        <v>90000</v>
      </c>
    </row>
    <row r="90" spans="1:7" x14ac:dyDescent="0.3">
      <c r="A90" s="48" t="s">
        <v>159</v>
      </c>
      <c r="B90" s="48" t="s">
        <v>158</v>
      </c>
      <c r="C90" s="48"/>
      <c r="D90" s="49">
        <v>4800</v>
      </c>
      <c r="E90" s="49">
        <v>21360</v>
      </c>
      <c r="F90" s="50">
        <v>23200</v>
      </c>
      <c r="G90" s="51">
        <v>5000</v>
      </c>
    </row>
    <row r="91" spans="1:7" x14ac:dyDescent="0.3">
      <c r="A91" s="48" t="s">
        <v>192</v>
      </c>
      <c r="B91" s="48" t="s">
        <v>191</v>
      </c>
      <c r="C91" s="48"/>
      <c r="D91" s="49">
        <v>610.29999999999995</v>
      </c>
      <c r="E91" s="49"/>
      <c r="F91" s="50"/>
      <c r="G91" s="41"/>
    </row>
    <row r="92" spans="1:7" x14ac:dyDescent="0.3">
      <c r="A92" s="48" t="s">
        <v>99</v>
      </c>
      <c r="B92" s="48" t="s">
        <v>98</v>
      </c>
      <c r="C92" s="48"/>
      <c r="D92" s="49">
        <v>-0.03</v>
      </c>
      <c r="E92" s="49"/>
      <c r="F92" s="50"/>
      <c r="G92" s="41"/>
    </row>
    <row r="93" spans="1:7" x14ac:dyDescent="0.3">
      <c r="A93" s="48" t="s">
        <v>45</v>
      </c>
      <c r="B93" s="48" t="s">
        <v>44</v>
      </c>
      <c r="C93" s="48"/>
      <c r="D93" s="49">
        <v>23748.02</v>
      </c>
      <c r="E93" s="49">
        <v>13883.99</v>
      </c>
      <c r="F93" s="50">
        <v>15000</v>
      </c>
      <c r="G93" s="51">
        <v>20500</v>
      </c>
    </row>
    <row r="94" spans="1:7" x14ac:dyDescent="0.3">
      <c r="A94" s="48" t="s">
        <v>97</v>
      </c>
      <c r="B94" s="48" t="s">
        <v>96</v>
      </c>
      <c r="C94" s="48"/>
      <c r="D94" s="49">
        <v>51750</v>
      </c>
      <c r="E94" s="49">
        <v>-500</v>
      </c>
      <c r="F94" s="50">
        <v>5000</v>
      </c>
      <c r="G94" s="51">
        <v>20000</v>
      </c>
    </row>
    <row r="95" spans="1:7" x14ac:dyDescent="0.3">
      <c r="A95" s="48" t="s">
        <v>43</v>
      </c>
      <c r="B95" s="48" t="s">
        <v>95</v>
      </c>
      <c r="C95" s="48"/>
      <c r="D95" s="49">
        <v>5121.5</v>
      </c>
      <c r="E95" s="49">
        <v>4142.09</v>
      </c>
      <c r="F95" s="50">
        <v>109500</v>
      </c>
      <c r="G95" s="51">
        <v>10000</v>
      </c>
    </row>
    <row r="96" spans="1:7" x14ac:dyDescent="0.3">
      <c r="A96" s="48" t="s">
        <v>211</v>
      </c>
      <c r="B96" s="48" t="s">
        <v>214</v>
      </c>
      <c r="C96" s="48"/>
      <c r="D96" s="49"/>
      <c r="E96" s="49"/>
      <c r="F96" s="50"/>
      <c r="G96" s="41"/>
    </row>
    <row r="97" spans="1:7" x14ac:dyDescent="0.3">
      <c r="A97" s="44"/>
      <c r="B97" s="44" t="s">
        <v>23</v>
      </c>
      <c r="C97" s="44"/>
      <c r="D97" s="45">
        <f>D36+D41+D50</f>
        <v>2942942.5100000007</v>
      </c>
      <c r="E97" s="45">
        <v>1938257.5</v>
      </c>
      <c r="F97" s="47">
        <f>F36+F41+F50</f>
        <v>2695022</v>
      </c>
      <c r="G97" s="47">
        <f>G36+G41+G50</f>
        <v>3803500</v>
      </c>
    </row>
    <row r="98" spans="1:7" x14ac:dyDescent="0.3">
      <c r="A98" s="44"/>
      <c r="B98" s="44" t="s">
        <v>24</v>
      </c>
      <c r="C98" s="44"/>
      <c r="D98" s="45">
        <f>D29-D97</f>
        <v>369976.86999999918</v>
      </c>
      <c r="E98" s="45">
        <v>136739.76</v>
      </c>
      <c r="F98" s="47">
        <f>F29-F97</f>
        <v>-318522</v>
      </c>
      <c r="G98" s="47">
        <f>G29-G97</f>
        <v>-595500</v>
      </c>
    </row>
    <row r="99" spans="1:7" x14ac:dyDescent="0.3">
      <c r="A99" s="44"/>
      <c r="B99" s="44" t="s">
        <v>190</v>
      </c>
      <c r="C99" s="44"/>
      <c r="D99" s="45">
        <v>18229.740000000002</v>
      </c>
      <c r="E99" s="45">
        <v>3866.22</v>
      </c>
      <c r="F99" s="50"/>
      <c r="G99" s="41"/>
    </row>
    <row r="100" spans="1:7" x14ac:dyDescent="0.3">
      <c r="A100" s="48" t="s">
        <v>189</v>
      </c>
      <c r="B100" s="48" t="s">
        <v>188</v>
      </c>
      <c r="C100" s="48"/>
      <c r="D100" s="49">
        <v>18229.740000000002</v>
      </c>
      <c r="E100" s="49">
        <v>3866.22</v>
      </c>
      <c r="F100" s="50"/>
      <c r="G100" s="41"/>
    </row>
    <row r="101" spans="1:7" x14ac:dyDescent="0.3">
      <c r="A101" s="44"/>
      <c r="B101" s="44" t="s">
        <v>94</v>
      </c>
      <c r="C101" s="44"/>
      <c r="D101" s="45">
        <v>612.82000000000005</v>
      </c>
      <c r="E101" s="45">
        <v>-819.94</v>
      </c>
      <c r="F101" s="50"/>
      <c r="G101" s="41"/>
    </row>
    <row r="102" spans="1:7" x14ac:dyDescent="0.3">
      <c r="A102" s="48" t="s">
        <v>187</v>
      </c>
      <c r="B102" s="48" t="s">
        <v>186</v>
      </c>
      <c r="C102" s="48"/>
      <c r="D102" s="49">
        <v>612.82000000000005</v>
      </c>
      <c r="E102" s="49">
        <v>-830</v>
      </c>
      <c r="F102" s="50"/>
      <c r="G102" s="41"/>
    </row>
    <row r="103" spans="1:7" x14ac:dyDescent="0.3">
      <c r="A103" s="48" t="s">
        <v>93</v>
      </c>
      <c r="B103" s="48" t="s">
        <v>92</v>
      </c>
      <c r="C103" s="48"/>
      <c r="D103" s="49"/>
      <c r="E103" s="49">
        <v>10.06</v>
      </c>
      <c r="F103" s="50"/>
      <c r="G103" s="41"/>
    </row>
    <row r="104" spans="1:7" x14ac:dyDescent="0.3">
      <c r="A104" s="44"/>
      <c r="B104" s="44" t="s">
        <v>91</v>
      </c>
      <c r="C104" s="44"/>
      <c r="D104" s="45">
        <v>17616.919999999998</v>
      </c>
      <c r="E104" s="45">
        <v>4686.16</v>
      </c>
      <c r="F104" s="50"/>
      <c r="G104" s="41"/>
    </row>
    <row r="105" spans="1:7" x14ac:dyDescent="0.3">
      <c r="A105" s="44"/>
      <c r="B105" s="44" t="s">
        <v>90</v>
      </c>
      <c r="C105" s="44"/>
      <c r="D105" s="45">
        <f>D98+D99-D101</f>
        <v>387593.78999999916</v>
      </c>
      <c r="E105" s="45">
        <v>141425.92000000001</v>
      </c>
      <c r="F105" s="50"/>
      <c r="G105" s="41"/>
    </row>
    <row r="106" spans="1:7" x14ac:dyDescent="0.3">
      <c r="A106" s="44"/>
      <c r="B106" s="44" t="s">
        <v>89</v>
      </c>
      <c r="C106" s="44"/>
      <c r="D106" s="45">
        <v>387594</v>
      </c>
      <c r="E106" s="45">
        <v>141425.92000000001</v>
      </c>
      <c r="F106" s="50"/>
      <c r="G106" s="41"/>
    </row>
    <row r="107" spans="1:7" x14ac:dyDescent="0.3">
      <c r="A107" s="44"/>
      <c r="B107" s="44" t="s">
        <v>218</v>
      </c>
      <c r="C107" s="44"/>
      <c r="D107" s="45">
        <v>387594</v>
      </c>
      <c r="E107" s="45">
        <v>141425.92000000001</v>
      </c>
      <c r="F107" s="50"/>
      <c r="G107" s="41"/>
    </row>
    <row r="108" spans="1:7" x14ac:dyDescent="0.3">
      <c r="D108" s="28"/>
      <c r="E108" s="28"/>
    </row>
    <row r="109" spans="1:7" x14ac:dyDescent="0.3">
      <c r="D109" s="28"/>
      <c r="E109" s="28"/>
    </row>
    <row r="110" spans="1:7" x14ac:dyDescent="0.3">
      <c r="A110" t="s">
        <v>388</v>
      </c>
      <c r="D110" s="28"/>
      <c r="E110" s="28"/>
    </row>
    <row r="111" spans="1:7" x14ac:dyDescent="0.3">
      <c r="D111" s="28"/>
      <c r="E111" s="28"/>
    </row>
    <row r="112" spans="1:7" x14ac:dyDescent="0.3">
      <c r="D112" s="28"/>
      <c r="E112" s="28"/>
    </row>
    <row r="113" spans="2:6" x14ac:dyDescent="0.3">
      <c r="B113" t="s">
        <v>394</v>
      </c>
      <c r="D113" t="s">
        <v>393</v>
      </c>
      <c r="F113" t="s">
        <v>392</v>
      </c>
    </row>
    <row r="114" spans="2:6" x14ac:dyDescent="0.3">
      <c r="B114" t="s">
        <v>389</v>
      </c>
      <c r="D114" t="s">
        <v>390</v>
      </c>
      <c r="F114" t="s">
        <v>391</v>
      </c>
    </row>
    <row r="118" spans="2:6" x14ac:dyDescent="0.3">
      <c r="B118" t="s">
        <v>396</v>
      </c>
      <c r="D118" t="s">
        <v>397</v>
      </c>
    </row>
    <row r="119" spans="2:6" x14ac:dyDescent="0.3">
      <c r="B119" t="s">
        <v>395</v>
      </c>
      <c r="D119" t="s">
        <v>395</v>
      </c>
    </row>
  </sheetData>
  <sheetProtection algorithmName="SHA-512" hashValue="uFn5xKSr0VS0kRJFm+5wHKzlUWVHk6G92S6EK4XQiNr8WzyDznTAwbPyaW0ji2i5zqD+yysTt+9g+Ep2gSTx1A==" saltValue="pq3OCFAcoQ3mS61hiCvacw==" spinCount="100000" sheet="1" objects="1" scenarios="1"/>
  <mergeCells count="5">
    <mergeCell ref="D4:E4"/>
    <mergeCell ref="F4:G4"/>
    <mergeCell ref="D34:E34"/>
    <mergeCell ref="F34:G34"/>
    <mergeCell ref="F68:G68"/>
  </mergeCells>
  <phoneticPr fontId="7" type="noConversion"/>
  <pageMargins left="0.75" right="0.75" top="0.75" bottom="0.5" header="0.5" footer="0.7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3337-92B1-4E29-9B8B-5618178D2333}">
  <dimension ref="A1:O55"/>
  <sheetViews>
    <sheetView workbookViewId="0">
      <pane ySplit="3" topLeftCell="A4" activePane="bottomLeft" state="frozenSplit"/>
      <selection pane="bottomLeft" activeCell="D1" sqref="D1"/>
    </sheetView>
  </sheetViews>
  <sheetFormatPr baseColWidth="10" defaultColWidth="8.88671875" defaultRowHeight="14.4" x14ac:dyDescent="0.3"/>
  <cols>
    <col min="1" max="1" width="46.5546875" customWidth="1"/>
    <col min="2" max="2" width="8.5546875" customWidth="1"/>
    <col min="3" max="4" width="13" style="13" customWidth="1"/>
    <col min="6" max="6" width="39.77734375" bestFit="1" customWidth="1"/>
    <col min="7" max="7" width="10.21875" bestFit="1" customWidth="1"/>
    <col min="8" max="9" width="12.77734375" style="13" bestFit="1" customWidth="1"/>
    <col min="12" max="12" width="11.21875" customWidth="1"/>
  </cols>
  <sheetData>
    <row r="1" spans="1:15" ht="27" customHeight="1" x14ac:dyDescent="0.5">
      <c r="A1" s="2" t="s">
        <v>313</v>
      </c>
      <c r="B1" s="2"/>
      <c r="C1" s="73"/>
      <c r="D1" s="73"/>
      <c r="F1" s="2" t="s">
        <v>314</v>
      </c>
      <c r="H1" s="73"/>
      <c r="I1" s="73"/>
    </row>
    <row r="2" spans="1:15" ht="18" customHeight="1" x14ac:dyDescent="0.35">
      <c r="A2" s="3"/>
      <c r="B2" s="3"/>
    </row>
    <row r="3" spans="1:15" x14ac:dyDescent="0.3">
      <c r="A3" s="4"/>
      <c r="B3" s="4" t="s">
        <v>315</v>
      </c>
      <c r="C3" s="18" t="s">
        <v>316</v>
      </c>
      <c r="D3" s="18" t="s">
        <v>317</v>
      </c>
      <c r="O3" s="4" t="s">
        <v>318</v>
      </c>
    </row>
    <row r="4" spans="1:15" ht="19.95" customHeight="1" x14ac:dyDescent="0.3">
      <c r="A4" s="74" t="s">
        <v>319</v>
      </c>
      <c r="B4" s="74"/>
      <c r="C4" s="75"/>
      <c r="D4" s="75"/>
      <c r="F4" s="74" t="s">
        <v>320</v>
      </c>
      <c r="G4" s="74"/>
      <c r="H4" s="75"/>
      <c r="I4" s="75"/>
    </row>
    <row r="5" spans="1:15" x14ac:dyDescent="0.3">
      <c r="A5" s="5" t="s">
        <v>321</v>
      </c>
      <c r="B5" s="5"/>
      <c r="C5" s="33"/>
      <c r="D5" s="33"/>
      <c r="F5" s="5" t="s">
        <v>322</v>
      </c>
      <c r="G5" s="5"/>
      <c r="H5" s="33"/>
      <c r="I5" s="33"/>
    </row>
    <row r="6" spans="1:15" x14ac:dyDescent="0.3">
      <c r="A6" s="5" t="s">
        <v>323</v>
      </c>
      <c r="B6" s="5"/>
      <c r="C6" s="33"/>
      <c r="D6" s="33"/>
      <c r="F6" s="5" t="s">
        <v>324</v>
      </c>
      <c r="G6" s="5"/>
      <c r="H6" s="33"/>
      <c r="I6" s="33"/>
    </row>
    <row r="7" spans="1:15" x14ac:dyDescent="0.3">
      <c r="A7" s="5" t="s">
        <v>325</v>
      </c>
      <c r="B7" s="5"/>
      <c r="C7" s="33"/>
      <c r="D7" s="33">
        <v>2433</v>
      </c>
      <c r="F7" s="5" t="s">
        <v>326</v>
      </c>
      <c r="G7" s="5"/>
      <c r="H7" s="33">
        <v>2708638.62</v>
      </c>
      <c r="I7" s="33">
        <v>2708638.62</v>
      </c>
    </row>
    <row r="8" spans="1:15" x14ac:dyDescent="0.3">
      <c r="A8" s="6" t="s">
        <v>327</v>
      </c>
      <c r="B8" s="6"/>
      <c r="C8" s="19"/>
      <c r="D8" s="19">
        <v>2433</v>
      </c>
      <c r="F8" s="6" t="s">
        <v>328</v>
      </c>
      <c r="G8" s="6"/>
      <c r="H8" s="19">
        <v>2708638.62</v>
      </c>
      <c r="I8" s="19">
        <v>2708638.62</v>
      </c>
    </row>
    <row r="9" spans="1:15" x14ac:dyDescent="0.3">
      <c r="A9" s="7" t="s">
        <v>329</v>
      </c>
      <c r="B9" s="7"/>
      <c r="C9" s="34"/>
      <c r="D9" s="34">
        <v>2433</v>
      </c>
      <c r="F9" s="6" t="s">
        <v>330</v>
      </c>
      <c r="G9" s="6"/>
      <c r="H9" s="19">
        <v>387593.94</v>
      </c>
      <c r="I9" s="19"/>
    </row>
    <row r="10" spans="1:15" x14ac:dyDescent="0.3">
      <c r="A10" s="7" t="s">
        <v>331</v>
      </c>
      <c r="B10" s="7"/>
      <c r="C10" s="34"/>
      <c r="D10" s="34">
        <v>2433</v>
      </c>
      <c r="F10" s="7" t="s">
        <v>332</v>
      </c>
      <c r="G10" s="7"/>
      <c r="H10" s="34">
        <v>3096232.56</v>
      </c>
      <c r="I10" s="34">
        <v>2708638.62</v>
      </c>
    </row>
    <row r="11" spans="1:15" x14ac:dyDescent="0.3">
      <c r="A11" s="5" t="s">
        <v>333</v>
      </c>
      <c r="B11" s="5"/>
      <c r="C11" s="33"/>
      <c r="D11" s="33"/>
      <c r="F11" s="7" t="s">
        <v>334</v>
      </c>
      <c r="G11" s="7"/>
      <c r="H11" s="34">
        <v>3096232.56</v>
      </c>
      <c r="I11" s="34">
        <v>2708638.62</v>
      </c>
    </row>
    <row r="12" spans="1:15" x14ac:dyDescent="0.3">
      <c r="A12" s="5" t="s">
        <v>335</v>
      </c>
      <c r="B12" s="5"/>
      <c r="C12" s="33"/>
      <c r="D12" s="33"/>
      <c r="F12" s="5" t="s">
        <v>336</v>
      </c>
      <c r="G12" s="5"/>
      <c r="H12" s="33"/>
      <c r="I12" s="33"/>
    </row>
    <row r="13" spans="1:15" x14ac:dyDescent="0.3">
      <c r="A13" s="5" t="s">
        <v>335</v>
      </c>
      <c r="B13" s="5"/>
      <c r="C13" s="33">
        <v>6191.13</v>
      </c>
      <c r="D13" s="33">
        <v>53019.13</v>
      </c>
      <c r="F13" s="5" t="s">
        <v>337</v>
      </c>
      <c r="G13" s="5"/>
      <c r="H13" s="33"/>
      <c r="I13" s="33"/>
    </row>
    <row r="14" spans="1:15" x14ac:dyDescent="0.3">
      <c r="A14" s="6" t="s">
        <v>338</v>
      </c>
      <c r="B14" s="6" t="s">
        <v>222</v>
      </c>
      <c r="C14" s="19">
        <v>6191.13</v>
      </c>
      <c r="D14" s="19">
        <v>53019.13</v>
      </c>
      <c r="F14" s="5" t="s">
        <v>339</v>
      </c>
      <c r="G14" s="5"/>
      <c r="H14" s="33">
        <v>18250</v>
      </c>
      <c r="I14" s="33">
        <v>18250</v>
      </c>
    </row>
    <row r="15" spans="1:15" x14ac:dyDescent="0.3">
      <c r="A15" s="7" t="s">
        <v>340</v>
      </c>
      <c r="B15" s="7"/>
      <c r="C15" s="34">
        <v>6191.13</v>
      </c>
      <c r="D15" s="34">
        <v>53019.13</v>
      </c>
      <c r="F15" s="6" t="s">
        <v>341</v>
      </c>
      <c r="G15" s="6"/>
      <c r="H15" s="19">
        <v>18250</v>
      </c>
      <c r="I15" s="19">
        <v>18250</v>
      </c>
    </row>
    <row r="16" spans="1:15" x14ac:dyDescent="0.3">
      <c r="A16" s="5" t="s">
        <v>342</v>
      </c>
      <c r="B16" s="5"/>
      <c r="C16" s="33"/>
      <c r="D16" s="33"/>
      <c r="F16" s="7" t="s">
        <v>343</v>
      </c>
      <c r="G16" s="7"/>
      <c r="H16" s="34">
        <v>18250</v>
      </c>
      <c r="I16" s="34">
        <v>18250</v>
      </c>
    </row>
    <row r="17" spans="1:9" x14ac:dyDescent="0.3">
      <c r="A17" s="5" t="s">
        <v>344</v>
      </c>
      <c r="B17" s="5"/>
      <c r="C17" s="33">
        <v>57900</v>
      </c>
      <c r="D17" s="33">
        <v>73880</v>
      </c>
      <c r="F17" s="5" t="s">
        <v>345</v>
      </c>
      <c r="G17" s="5"/>
      <c r="H17" s="33"/>
      <c r="I17" s="33"/>
    </row>
    <row r="18" spans="1:9" x14ac:dyDescent="0.3">
      <c r="A18" s="6" t="s">
        <v>346</v>
      </c>
      <c r="B18" s="6" t="s">
        <v>224</v>
      </c>
      <c r="C18" s="19">
        <v>57900</v>
      </c>
      <c r="D18" s="19">
        <v>73880</v>
      </c>
      <c r="F18" s="5" t="s">
        <v>347</v>
      </c>
      <c r="G18" s="5"/>
      <c r="H18" s="33">
        <v>132442.20000000001</v>
      </c>
      <c r="I18" s="33">
        <v>94097.06</v>
      </c>
    </row>
    <row r="19" spans="1:9" x14ac:dyDescent="0.3">
      <c r="A19" s="5" t="s">
        <v>348</v>
      </c>
      <c r="B19" s="5"/>
      <c r="C19" s="33">
        <v>283204.71000000002</v>
      </c>
      <c r="D19" s="33">
        <v>160822.18</v>
      </c>
      <c r="F19" s="6" t="s">
        <v>349</v>
      </c>
      <c r="G19" s="6"/>
      <c r="H19" s="19">
        <v>132442.20000000001</v>
      </c>
      <c r="I19" s="19">
        <v>94097.06</v>
      </c>
    </row>
    <row r="20" spans="1:9" x14ac:dyDescent="0.3">
      <c r="A20" s="6" t="s">
        <v>350</v>
      </c>
      <c r="B20" s="6" t="s">
        <v>225</v>
      </c>
      <c r="C20" s="19">
        <v>37903</v>
      </c>
      <c r="D20" s="19"/>
      <c r="F20" s="5" t="s">
        <v>351</v>
      </c>
      <c r="G20" s="5"/>
      <c r="H20" s="33">
        <v>18442</v>
      </c>
      <c r="I20" s="33">
        <v>17836</v>
      </c>
    </row>
    <row r="21" spans="1:9" x14ac:dyDescent="0.3">
      <c r="A21" s="6" t="s">
        <v>352</v>
      </c>
      <c r="B21" s="6" t="s">
        <v>226</v>
      </c>
      <c r="C21" s="19">
        <v>245301.71</v>
      </c>
      <c r="D21" s="19">
        <v>160822.18</v>
      </c>
      <c r="F21" s="6" t="s">
        <v>353</v>
      </c>
      <c r="G21" s="6"/>
      <c r="H21" s="19">
        <v>18442</v>
      </c>
      <c r="I21" s="19">
        <v>17836</v>
      </c>
    </row>
    <row r="22" spans="1:9" x14ac:dyDescent="0.3">
      <c r="A22" s="7" t="s">
        <v>354</v>
      </c>
      <c r="B22" s="7"/>
      <c r="C22" s="34">
        <v>341104.71</v>
      </c>
      <c r="D22" s="34">
        <v>234702.18</v>
      </c>
      <c r="F22" s="5" t="s">
        <v>355</v>
      </c>
      <c r="G22" s="5"/>
      <c r="H22" s="33">
        <v>1212346.48</v>
      </c>
      <c r="I22" s="33">
        <v>686463</v>
      </c>
    </row>
    <row r="23" spans="1:9" x14ac:dyDescent="0.3">
      <c r="A23" s="5" t="s">
        <v>356</v>
      </c>
      <c r="B23" s="5"/>
      <c r="C23" s="33"/>
      <c r="D23" s="33"/>
      <c r="F23" s="6" t="s">
        <v>357</v>
      </c>
      <c r="G23" s="6"/>
      <c r="H23" s="19">
        <v>-8632.42</v>
      </c>
      <c r="I23" s="19"/>
    </row>
    <row r="24" spans="1:9" x14ac:dyDescent="0.3">
      <c r="A24" s="5" t="s">
        <v>356</v>
      </c>
      <c r="B24" s="5"/>
      <c r="C24" s="33">
        <v>4130417.4</v>
      </c>
      <c r="D24" s="33">
        <v>3235130.37</v>
      </c>
      <c r="F24" s="6" t="s">
        <v>358</v>
      </c>
      <c r="G24" s="6"/>
      <c r="H24" s="19">
        <v>49735.9</v>
      </c>
      <c r="I24" s="19">
        <v>10500</v>
      </c>
    </row>
    <row r="25" spans="1:9" x14ac:dyDescent="0.3">
      <c r="A25" s="6" t="s">
        <v>359</v>
      </c>
      <c r="B25" s="6"/>
      <c r="C25" s="19">
        <v>722947.14</v>
      </c>
      <c r="D25" s="19">
        <v>497766.85</v>
      </c>
      <c r="F25" s="6" t="s">
        <v>360</v>
      </c>
      <c r="G25" s="6"/>
      <c r="H25" s="19"/>
      <c r="I25" s="19">
        <v>261509</v>
      </c>
    </row>
    <row r="26" spans="1:9" x14ac:dyDescent="0.3">
      <c r="A26" s="6" t="s">
        <v>361</v>
      </c>
      <c r="B26" s="6"/>
      <c r="C26" s="19">
        <v>3384889.62</v>
      </c>
      <c r="D26" s="19">
        <v>2456001.5299999998</v>
      </c>
      <c r="F26" s="6" t="s">
        <v>362</v>
      </c>
      <c r="G26" s="6" t="s">
        <v>227</v>
      </c>
      <c r="H26" s="19">
        <v>51908</v>
      </c>
      <c r="I26" s="19">
        <v>74708</v>
      </c>
    </row>
    <row r="27" spans="1:9" x14ac:dyDescent="0.3">
      <c r="A27" s="6" t="s">
        <v>363</v>
      </c>
      <c r="B27" s="6"/>
      <c r="C27" s="19">
        <v>850.64</v>
      </c>
      <c r="D27" s="19">
        <v>262343.99</v>
      </c>
      <c r="F27" s="6" t="s">
        <v>364</v>
      </c>
      <c r="G27" s="6" t="s">
        <v>228</v>
      </c>
      <c r="H27" s="19">
        <v>1119335</v>
      </c>
      <c r="I27" s="19">
        <v>339746</v>
      </c>
    </row>
    <row r="28" spans="1:9" x14ac:dyDescent="0.3">
      <c r="A28" s="6" t="s">
        <v>365</v>
      </c>
      <c r="B28" s="6"/>
      <c r="C28" s="19">
        <v>21730</v>
      </c>
      <c r="D28" s="19">
        <v>19018</v>
      </c>
      <c r="F28" s="7" t="s">
        <v>366</v>
      </c>
      <c r="G28" s="7"/>
      <c r="H28" s="34">
        <v>1363230.68</v>
      </c>
      <c r="I28" s="34">
        <v>798396.06</v>
      </c>
    </row>
    <row r="29" spans="1:9" x14ac:dyDescent="0.3">
      <c r="A29" s="7" t="s">
        <v>367</v>
      </c>
      <c r="B29" s="7"/>
      <c r="C29" s="34">
        <v>4130417.4</v>
      </c>
      <c r="D29" s="34">
        <v>3235130.37</v>
      </c>
      <c r="F29" s="7" t="s">
        <v>368</v>
      </c>
      <c r="G29" s="7"/>
      <c r="H29" s="34">
        <v>1381480.68</v>
      </c>
      <c r="I29" s="34">
        <v>816646.06</v>
      </c>
    </row>
    <row r="30" spans="1:9" x14ac:dyDescent="0.3">
      <c r="A30" s="7" t="s">
        <v>369</v>
      </c>
      <c r="B30" s="7"/>
      <c r="C30" s="34">
        <v>4477713.24</v>
      </c>
      <c r="D30" s="34">
        <v>3522851.68</v>
      </c>
      <c r="F30" s="5" t="s">
        <v>370</v>
      </c>
      <c r="G30" s="5"/>
      <c r="H30" s="33">
        <v>4477713.24</v>
      </c>
      <c r="I30" s="33">
        <v>3525284.68</v>
      </c>
    </row>
    <row r="31" spans="1:9" x14ac:dyDescent="0.3">
      <c r="A31" s="5" t="s">
        <v>371</v>
      </c>
      <c r="B31" s="5"/>
      <c r="C31" s="33">
        <v>4477713.24</v>
      </c>
      <c r="D31" s="33">
        <v>3525284.68</v>
      </c>
    </row>
    <row r="32" spans="1:9" x14ac:dyDescent="0.3">
      <c r="A32" s="6"/>
      <c r="B32" s="6"/>
      <c r="C32" s="19"/>
      <c r="D32" s="19"/>
    </row>
    <row r="33" spans="1:8" x14ac:dyDescent="0.3">
      <c r="A33" s="4" t="s">
        <v>372</v>
      </c>
      <c r="B33" s="4" t="s">
        <v>373</v>
      </c>
      <c r="F33" s="4" t="s">
        <v>374</v>
      </c>
      <c r="H33"/>
    </row>
    <row r="34" spans="1:8" x14ac:dyDescent="0.3">
      <c r="A34" t="s">
        <v>375</v>
      </c>
      <c r="B34" t="s">
        <v>376</v>
      </c>
      <c r="F34" t="s">
        <v>377</v>
      </c>
      <c r="H34"/>
    </row>
    <row r="35" spans="1:8" x14ac:dyDescent="0.3">
      <c r="H35"/>
    </row>
    <row r="36" spans="1:8" x14ac:dyDescent="0.3">
      <c r="A36" s="4" t="s">
        <v>378</v>
      </c>
      <c r="H36"/>
    </row>
    <row r="37" spans="1:8" x14ac:dyDescent="0.3">
      <c r="A37" t="s">
        <v>379</v>
      </c>
      <c r="F37" s="4" t="s">
        <v>380</v>
      </c>
      <c r="H37"/>
    </row>
    <row r="38" spans="1:8" x14ac:dyDescent="0.3">
      <c r="F38" t="s">
        <v>381</v>
      </c>
      <c r="G38" s="13">
        <v>339746</v>
      </c>
    </row>
    <row r="39" spans="1:8" x14ac:dyDescent="0.3">
      <c r="F39" t="s">
        <v>382</v>
      </c>
      <c r="G39" s="13">
        <v>-98511</v>
      </c>
    </row>
    <row r="40" spans="1:8" x14ac:dyDescent="0.3">
      <c r="A40" s="4" t="s">
        <v>383</v>
      </c>
      <c r="F40" t="s">
        <v>384</v>
      </c>
      <c r="G40" s="13">
        <v>170600</v>
      </c>
    </row>
    <row r="41" spans="1:8" x14ac:dyDescent="0.3">
      <c r="A41" t="s">
        <v>385</v>
      </c>
      <c r="B41" s="13">
        <v>87867.71</v>
      </c>
      <c r="F41" t="s">
        <v>386</v>
      </c>
      <c r="G41" s="14">
        <v>707500</v>
      </c>
    </row>
    <row r="42" spans="1:8" x14ac:dyDescent="0.3">
      <c r="A42" t="s">
        <v>56</v>
      </c>
      <c r="B42" s="13">
        <v>15343</v>
      </c>
      <c r="G42" s="20">
        <f>SUM(G38:G41)</f>
        <v>1119335</v>
      </c>
    </row>
    <row r="43" spans="1:8" x14ac:dyDescent="0.3">
      <c r="A43" t="s">
        <v>252</v>
      </c>
      <c r="B43" s="13">
        <v>80000</v>
      </c>
      <c r="H43"/>
    </row>
    <row r="44" spans="1:8" x14ac:dyDescent="0.3">
      <c r="A44" t="s">
        <v>387</v>
      </c>
      <c r="B44" s="13">
        <v>62000</v>
      </c>
      <c r="C44"/>
      <c r="D44"/>
      <c r="H44"/>
    </row>
    <row r="45" spans="1:8" x14ac:dyDescent="0.3">
      <c r="A45" t="s">
        <v>257</v>
      </c>
      <c r="B45" s="14">
        <v>91</v>
      </c>
      <c r="C45"/>
      <c r="D45"/>
    </row>
    <row r="46" spans="1:8" x14ac:dyDescent="0.3">
      <c r="B46" s="18">
        <f>SUM(B41:B45)</f>
        <v>245301.71000000002</v>
      </c>
      <c r="C46"/>
      <c r="D46"/>
    </row>
    <row r="47" spans="1:8" x14ac:dyDescent="0.3">
      <c r="C47"/>
      <c r="D47"/>
    </row>
    <row r="48" spans="1:8" x14ac:dyDescent="0.3">
      <c r="C48"/>
      <c r="D48"/>
    </row>
    <row r="49" spans="3:4" x14ac:dyDescent="0.3">
      <c r="C49"/>
      <c r="D49"/>
    </row>
    <row r="50" spans="3:4" x14ac:dyDescent="0.3">
      <c r="C50"/>
      <c r="D50"/>
    </row>
    <row r="51" spans="3:4" x14ac:dyDescent="0.3">
      <c r="C51"/>
      <c r="D51"/>
    </row>
    <row r="52" spans="3:4" x14ac:dyDescent="0.3">
      <c r="C52"/>
      <c r="D52"/>
    </row>
    <row r="53" spans="3:4" x14ac:dyDescent="0.3">
      <c r="C53"/>
      <c r="D53"/>
    </row>
    <row r="54" spans="3:4" x14ac:dyDescent="0.3">
      <c r="C54"/>
      <c r="D54"/>
    </row>
    <row r="55" spans="3:4" x14ac:dyDescent="0.3">
      <c r="C55"/>
      <c r="D55"/>
    </row>
  </sheetData>
  <sheetProtection algorithmName="SHA-512" hashValue="KhPD5c0cYhF4Yl8AE965M348CC4t6A7w2X/Gn2j7AOtnbqny9mpRdgk9ioS2PFF4iXr9Qghmau+2atTwFQjFCQ==" saltValue="miRqecdfQFOY2A2zmbR87w==" spinCount="100000" sheet="1" objects="1" scenarios="1"/>
  <pageMargins left="0.75" right="0.75" top="0.75" bottom="0.5" header="0.5" footer="0.7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AE5E-5A80-4E59-B6F3-CCCFFC96D0B9}">
  <dimension ref="A1:H68"/>
  <sheetViews>
    <sheetView topLeftCell="B1" zoomScaleNormal="100" workbookViewId="0">
      <pane ySplit="5" topLeftCell="A6" activePane="bottomLeft" state="frozenSplit"/>
      <selection pane="bottomLeft" activeCell="K1" sqref="K1"/>
    </sheetView>
  </sheetViews>
  <sheetFormatPr baseColWidth="10" defaultColWidth="8.88671875" defaultRowHeight="14.4" x14ac:dyDescent="0.3"/>
  <cols>
    <col min="1" max="1" width="10.5546875" customWidth="1"/>
    <col min="2" max="2" width="36.33203125" customWidth="1"/>
    <col min="3" max="3" width="13" customWidth="1"/>
    <col min="4" max="4" width="11.44140625" customWidth="1"/>
    <col min="5" max="5" width="11.33203125" style="13" bestFit="1" customWidth="1"/>
    <col min="6" max="6" width="12.77734375" style="13" bestFit="1" customWidth="1"/>
  </cols>
  <sheetData>
    <row r="1" spans="1:8" ht="27" customHeight="1" x14ac:dyDescent="0.5">
      <c r="A1" s="65" t="s">
        <v>209</v>
      </c>
      <c r="B1" s="66"/>
      <c r="C1" s="66"/>
      <c r="D1" s="66"/>
      <c r="E1" s="66"/>
      <c r="F1" s="66"/>
    </row>
    <row r="2" spans="1:8" ht="18" customHeight="1" x14ac:dyDescent="0.35">
      <c r="A2" s="3"/>
    </row>
    <row r="3" spans="1:8" ht="18" customHeight="1" x14ac:dyDescent="0.35">
      <c r="A3" s="67"/>
      <c r="B3" s="66"/>
      <c r="C3" s="66"/>
      <c r="D3" s="66"/>
      <c r="E3" s="66"/>
      <c r="F3" s="66"/>
    </row>
    <row r="4" spans="1:8" x14ac:dyDescent="0.3">
      <c r="C4" s="68" t="s">
        <v>154</v>
      </c>
      <c r="D4" s="69"/>
      <c r="E4" s="70" t="s">
        <v>25</v>
      </c>
      <c r="F4" s="71"/>
    </row>
    <row r="5" spans="1:8" x14ac:dyDescent="0.3">
      <c r="A5" s="4" t="s">
        <v>3</v>
      </c>
      <c r="B5" s="4" t="s">
        <v>4</v>
      </c>
      <c r="C5" s="21" t="s">
        <v>5</v>
      </c>
      <c r="D5" s="22" t="s">
        <v>6</v>
      </c>
      <c r="E5" s="21" t="s">
        <v>5</v>
      </c>
      <c r="F5" s="22" t="s">
        <v>208</v>
      </c>
    </row>
    <row r="6" spans="1:8" x14ac:dyDescent="0.3">
      <c r="A6" s="5"/>
      <c r="B6" s="5" t="s">
        <v>64</v>
      </c>
      <c r="C6" s="23">
        <f>SUM(C7:C12)</f>
        <v>722738.6</v>
      </c>
      <c r="D6" s="23">
        <v>166661</v>
      </c>
      <c r="E6" s="24">
        <f>SUM(E7:E12)</f>
        <v>480000</v>
      </c>
      <c r="F6" s="24">
        <f>SUM(F7:F12)</f>
        <v>380000</v>
      </c>
      <c r="H6" s="28"/>
    </row>
    <row r="7" spans="1:8" x14ac:dyDescent="0.3">
      <c r="A7" s="6" t="s">
        <v>153</v>
      </c>
      <c r="B7" s="6" t="s">
        <v>152</v>
      </c>
      <c r="C7" s="8"/>
      <c r="D7" s="8">
        <v>-580</v>
      </c>
      <c r="E7" s="25"/>
      <c r="F7" s="25"/>
    </row>
    <row r="8" spans="1:8" x14ac:dyDescent="0.3">
      <c r="A8" s="6" t="s">
        <v>144</v>
      </c>
      <c r="B8" s="6" t="s">
        <v>143</v>
      </c>
      <c r="C8" s="8">
        <v>37.6</v>
      </c>
      <c r="D8" s="8"/>
      <c r="E8" s="25"/>
      <c r="F8" s="25"/>
    </row>
    <row r="9" spans="1:8" x14ac:dyDescent="0.3">
      <c r="A9" s="6" t="s">
        <v>26</v>
      </c>
      <c r="B9" s="6" t="s">
        <v>31</v>
      </c>
      <c r="C9" s="8">
        <v>614715</v>
      </c>
      <c r="D9" s="8">
        <v>167241</v>
      </c>
      <c r="E9" s="25">
        <v>410000</v>
      </c>
      <c r="F9" s="25">
        <v>240000</v>
      </c>
    </row>
    <row r="10" spans="1:8" x14ac:dyDescent="0.3">
      <c r="A10" s="6" t="s">
        <v>27</v>
      </c>
      <c r="B10" s="6" t="s">
        <v>32</v>
      </c>
      <c r="C10" s="8">
        <v>50000</v>
      </c>
      <c r="D10" s="8"/>
      <c r="E10" s="25">
        <v>50000</v>
      </c>
      <c r="F10" s="25">
        <v>50000</v>
      </c>
    </row>
    <row r="11" spans="1:8" x14ac:dyDescent="0.3">
      <c r="A11" s="6" t="s">
        <v>61</v>
      </c>
      <c r="B11" s="6" t="s">
        <v>33</v>
      </c>
      <c r="C11" s="8">
        <v>40000</v>
      </c>
      <c r="D11" s="8"/>
      <c r="E11" s="25">
        <v>20000</v>
      </c>
      <c r="F11" s="25">
        <v>40000</v>
      </c>
    </row>
    <row r="12" spans="1:8" x14ac:dyDescent="0.3">
      <c r="A12" s="6" t="s">
        <v>60</v>
      </c>
      <c r="B12" s="6" t="s">
        <v>59</v>
      </c>
      <c r="C12" s="8">
        <v>17986</v>
      </c>
      <c r="D12" s="8"/>
      <c r="E12" s="25"/>
      <c r="F12" s="25">
        <v>50000</v>
      </c>
    </row>
    <row r="13" spans="1:8" x14ac:dyDescent="0.3">
      <c r="A13" s="5"/>
      <c r="B13" s="5" t="s">
        <v>7</v>
      </c>
      <c r="C13" s="23">
        <f>SUM(C14:C21)</f>
        <v>437896.6</v>
      </c>
      <c r="D13" s="23">
        <v>221186.71</v>
      </c>
      <c r="E13" s="24">
        <f>SUM(E14:E21)</f>
        <v>175000</v>
      </c>
      <c r="F13" s="24">
        <f>SUM(F14:F21)</f>
        <v>810000</v>
      </c>
      <c r="H13" s="28"/>
    </row>
    <row r="14" spans="1:8" x14ac:dyDescent="0.3">
      <c r="A14" s="6" t="s">
        <v>75</v>
      </c>
      <c r="B14" s="6" t="s">
        <v>74</v>
      </c>
      <c r="C14" s="8">
        <v>19550</v>
      </c>
      <c r="D14" s="8">
        <v>1250</v>
      </c>
      <c r="E14" s="25">
        <v>10000</v>
      </c>
      <c r="F14" s="25">
        <v>15000</v>
      </c>
    </row>
    <row r="15" spans="1:8" x14ac:dyDescent="0.3">
      <c r="A15" s="6" t="s">
        <v>206</v>
      </c>
      <c r="B15" s="6" t="s">
        <v>48</v>
      </c>
      <c r="C15" s="8">
        <v>124092.3</v>
      </c>
      <c r="D15" s="8">
        <v>114650</v>
      </c>
      <c r="E15" s="25">
        <v>110000</v>
      </c>
      <c r="F15" s="25">
        <v>60000</v>
      </c>
    </row>
    <row r="16" spans="1:8" x14ac:dyDescent="0.3">
      <c r="A16" s="6" t="s">
        <v>58</v>
      </c>
      <c r="B16" s="6" t="s">
        <v>57</v>
      </c>
      <c r="C16" s="8"/>
      <c r="D16" s="8">
        <v>7800</v>
      </c>
      <c r="E16" s="25"/>
      <c r="F16" s="25"/>
    </row>
    <row r="17" spans="1:8" x14ac:dyDescent="0.3">
      <c r="A17" s="6" t="s">
        <v>29</v>
      </c>
      <c r="B17" s="6" t="s">
        <v>56</v>
      </c>
      <c r="C17" s="8">
        <v>6</v>
      </c>
      <c r="D17" s="8">
        <v>32166.959999999999</v>
      </c>
      <c r="E17" s="25">
        <v>15000</v>
      </c>
      <c r="F17" s="25"/>
    </row>
    <row r="18" spans="1:8" x14ac:dyDescent="0.3">
      <c r="A18" s="6" t="s">
        <v>30</v>
      </c>
      <c r="B18" s="6" t="s">
        <v>55</v>
      </c>
      <c r="C18" s="8">
        <v>27990.3</v>
      </c>
      <c r="D18" s="8">
        <v>56349.19</v>
      </c>
      <c r="E18" s="25">
        <v>40000</v>
      </c>
      <c r="F18" s="25">
        <v>35000</v>
      </c>
    </row>
    <row r="19" spans="1:8" x14ac:dyDescent="0.3">
      <c r="A19" s="6" t="s">
        <v>8</v>
      </c>
      <c r="B19" s="6" t="s">
        <v>9</v>
      </c>
      <c r="C19" s="8">
        <v>262265</v>
      </c>
      <c r="D19" s="8">
        <v>7720.56</v>
      </c>
      <c r="E19" s="25"/>
      <c r="F19" s="25">
        <v>700000</v>
      </c>
    </row>
    <row r="20" spans="1:8" x14ac:dyDescent="0.3">
      <c r="A20" s="6" t="s">
        <v>205</v>
      </c>
      <c r="B20" s="6" t="s">
        <v>204</v>
      </c>
      <c r="C20" s="8">
        <v>3993</v>
      </c>
      <c r="D20" s="8">
        <v>1250</v>
      </c>
      <c r="E20" s="25"/>
      <c r="F20" s="25"/>
    </row>
    <row r="21" spans="1:8" x14ac:dyDescent="0.3">
      <c r="A21" s="6" t="s">
        <v>138</v>
      </c>
      <c r="B21" s="6" t="s">
        <v>137</v>
      </c>
      <c r="C21" s="8"/>
      <c r="D21" s="8">
        <v>0</v>
      </c>
      <c r="E21" s="25"/>
      <c r="F21" s="25"/>
    </row>
    <row r="22" spans="1:8" x14ac:dyDescent="0.3">
      <c r="A22" s="7"/>
      <c r="B22" s="7" t="s">
        <v>10</v>
      </c>
      <c r="C22" s="9">
        <f>C6+C13</f>
        <v>1160635.2</v>
      </c>
      <c r="D22" s="9">
        <v>387847.71</v>
      </c>
      <c r="E22" s="26">
        <f>E13+E6</f>
        <v>655000</v>
      </c>
      <c r="F22" s="26">
        <f>F13+F6</f>
        <v>1190000</v>
      </c>
      <c r="H22" s="28"/>
    </row>
    <row r="23" spans="1:8" x14ac:dyDescent="0.3">
      <c r="A23" s="5"/>
      <c r="B23" s="5" t="s">
        <v>136</v>
      </c>
      <c r="C23" s="23"/>
      <c r="D23" s="23">
        <f>SUM(D24:D25)</f>
        <v>0</v>
      </c>
      <c r="E23" s="23">
        <f t="shared" ref="E23:F23" si="0">SUM(E24:E25)</f>
        <v>30000</v>
      </c>
      <c r="F23" s="23">
        <f t="shared" si="0"/>
        <v>0</v>
      </c>
    </row>
    <row r="24" spans="1:8" x14ac:dyDescent="0.3">
      <c r="A24" s="6" t="s">
        <v>133</v>
      </c>
      <c r="B24" s="6" t="s">
        <v>207</v>
      </c>
      <c r="C24" s="8"/>
      <c r="D24" s="8"/>
      <c r="E24" s="25">
        <v>30000</v>
      </c>
      <c r="F24" s="25"/>
    </row>
    <row r="25" spans="1:8" x14ac:dyDescent="0.3">
      <c r="A25" s="6" t="s">
        <v>203</v>
      </c>
      <c r="B25" s="6" t="s">
        <v>202</v>
      </c>
      <c r="C25" s="8">
        <v>0</v>
      </c>
      <c r="D25" s="8"/>
      <c r="E25" s="25"/>
      <c r="F25" s="25"/>
    </row>
    <row r="26" spans="1:8" x14ac:dyDescent="0.3">
      <c r="A26" s="5"/>
      <c r="B26" s="5" t="s">
        <v>11</v>
      </c>
      <c r="C26" s="23">
        <f>SUM(C27:C29)</f>
        <v>132700</v>
      </c>
      <c r="D26" s="23">
        <v>40150</v>
      </c>
      <c r="E26" s="24">
        <f>SUM(E27:E28)</f>
        <v>50000</v>
      </c>
      <c r="F26" s="24">
        <f>SUM(F27:F28)</f>
        <v>226000</v>
      </c>
    </row>
    <row r="27" spans="1:8" x14ac:dyDescent="0.3">
      <c r="A27" s="6" t="s">
        <v>12</v>
      </c>
      <c r="B27" s="6" t="s">
        <v>13</v>
      </c>
      <c r="C27" s="8">
        <v>119700</v>
      </c>
      <c r="D27" s="8">
        <v>37150</v>
      </c>
      <c r="E27" s="25">
        <v>15000</v>
      </c>
      <c r="F27" s="25">
        <v>200000</v>
      </c>
    </row>
    <row r="28" spans="1:8" x14ac:dyDescent="0.3">
      <c r="A28" s="6" t="s">
        <v>36</v>
      </c>
      <c r="B28" s="6" t="s">
        <v>41</v>
      </c>
      <c r="C28" s="8">
        <v>23500</v>
      </c>
      <c r="D28" s="8">
        <v>3000</v>
      </c>
      <c r="E28" s="25">
        <v>35000</v>
      </c>
      <c r="F28" s="25">
        <v>26000</v>
      </c>
    </row>
    <row r="29" spans="1:8" x14ac:dyDescent="0.3">
      <c r="A29" s="6" t="s">
        <v>121</v>
      </c>
      <c r="B29" s="6" t="s">
        <v>120</v>
      </c>
      <c r="C29" s="8">
        <v>-10500</v>
      </c>
      <c r="D29" s="8"/>
      <c r="E29" s="25"/>
      <c r="F29" s="25"/>
    </row>
    <row r="30" spans="1:8" x14ac:dyDescent="0.3">
      <c r="A30" s="5"/>
      <c r="B30" s="5" t="s">
        <v>14</v>
      </c>
      <c r="C30" s="23">
        <f>SUM(C31:C58)</f>
        <v>886280.17000000016</v>
      </c>
      <c r="D30" s="23">
        <v>320594.62</v>
      </c>
      <c r="E30" s="24">
        <f>SUM(E31:E58)</f>
        <v>739000</v>
      </c>
      <c r="F30" s="24">
        <f>SUM(F31:F58)</f>
        <v>1198000</v>
      </c>
    </row>
    <row r="31" spans="1:8" x14ac:dyDescent="0.3">
      <c r="A31" s="6" t="s">
        <v>185</v>
      </c>
      <c r="B31" s="6" t="s">
        <v>201</v>
      </c>
      <c r="C31" s="8">
        <v>10339.24</v>
      </c>
      <c r="D31" s="8">
        <v>9710.08</v>
      </c>
      <c r="E31" s="25"/>
      <c r="F31" s="25">
        <v>15000</v>
      </c>
    </row>
    <row r="32" spans="1:8" x14ac:dyDescent="0.3">
      <c r="A32" s="6" t="s">
        <v>200</v>
      </c>
      <c r="B32" s="6" t="s">
        <v>199</v>
      </c>
      <c r="C32" s="8">
        <v>4533.72</v>
      </c>
      <c r="D32" s="8">
        <v>585.63</v>
      </c>
      <c r="E32" s="25">
        <v>5000</v>
      </c>
      <c r="F32" s="25">
        <v>4000</v>
      </c>
    </row>
    <row r="33" spans="1:6" x14ac:dyDescent="0.3">
      <c r="A33" s="6" t="s">
        <v>73</v>
      </c>
      <c r="B33" s="6" t="s">
        <v>72</v>
      </c>
      <c r="C33" s="8">
        <v>5843.8</v>
      </c>
      <c r="D33" s="8">
        <v>14605.46</v>
      </c>
      <c r="E33" s="25"/>
      <c r="F33" s="25">
        <v>3000</v>
      </c>
    </row>
    <row r="34" spans="1:6" x14ac:dyDescent="0.3">
      <c r="A34" s="6" t="s">
        <v>198</v>
      </c>
      <c r="B34" s="6" t="s">
        <v>197</v>
      </c>
      <c r="C34" s="8">
        <v>27799.360000000001</v>
      </c>
      <c r="D34" s="8"/>
      <c r="E34" s="25"/>
      <c r="F34" s="25">
        <v>25000</v>
      </c>
    </row>
    <row r="35" spans="1:6" x14ac:dyDescent="0.3">
      <c r="A35" s="6" t="s">
        <v>77</v>
      </c>
      <c r="B35" s="6" t="s">
        <v>78</v>
      </c>
      <c r="C35" s="8">
        <v>31339</v>
      </c>
      <c r="D35" s="8">
        <v>2902</v>
      </c>
      <c r="E35" s="25">
        <v>100000</v>
      </c>
      <c r="F35" s="25">
        <v>100000</v>
      </c>
    </row>
    <row r="36" spans="1:6" x14ac:dyDescent="0.3">
      <c r="A36" s="6" t="s">
        <v>71</v>
      </c>
      <c r="B36" s="6" t="s">
        <v>70</v>
      </c>
      <c r="C36" s="8">
        <v>20180</v>
      </c>
      <c r="D36" s="8">
        <v>3695</v>
      </c>
      <c r="E36" s="25"/>
      <c r="F36" s="25">
        <v>5000</v>
      </c>
    </row>
    <row r="37" spans="1:6" x14ac:dyDescent="0.3">
      <c r="A37" s="6" t="s">
        <v>196</v>
      </c>
      <c r="B37" s="6" t="s">
        <v>195</v>
      </c>
      <c r="C37" s="8"/>
      <c r="D37" s="8">
        <v>16808.59</v>
      </c>
      <c r="E37" s="25">
        <v>10000</v>
      </c>
      <c r="F37" s="25">
        <v>20000</v>
      </c>
    </row>
    <row r="38" spans="1:6" x14ac:dyDescent="0.3">
      <c r="A38" s="6" t="s">
        <v>15</v>
      </c>
      <c r="B38" s="6" t="s">
        <v>16</v>
      </c>
      <c r="C38" s="8">
        <v>78118.399999999994</v>
      </c>
      <c r="D38" s="8">
        <v>12801.25</v>
      </c>
      <c r="E38" s="25">
        <v>90000</v>
      </c>
      <c r="F38" s="25">
        <v>15000</v>
      </c>
    </row>
    <row r="39" spans="1:6" x14ac:dyDescent="0.3">
      <c r="A39" s="6" t="s">
        <v>79</v>
      </c>
      <c r="B39" s="6" t="s">
        <v>115</v>
      </c>
      <c r="C39" s="8">
        <v>483219</v>
      </c>
      <c r="D39" s="8">
        <v>9369.4</v>
      </c>
      <c r="E39" s="25">
        <v>300000</v>
      </c>
      <c r="F39" s="25">
        <v>25000</v>
      </c>
    </row>
    <row r="40" spans="1:6" x14ac:dyDescent="0.3">
      <c r="A40" s="6" t="s">
        <v>194</v>
      </c>
      <c r="B40" s="6" t="s">
        <v>193</v>
      </c>
      <c r="C40" s="8">
        <v>110227.5</v>
      </c>
      <c r="D40" s="8"/>
      <c r="E40" s="25"/>
      <c r="F40" s="25">
        <v>90000</v>
      </c>
    </row>
    <row r="41" spans="1:6" x14ac:dyDescent="0.3">
      <c r="A41" s="6" t="s">
        <v>114</v>
      </c>
      <c r="B41" s="6" t="s">
        <v>113</v>
      </c>
      <c r="C41" s="8">
        <v>0</v>
      </c>
      <c r="D41" s="8">
        <v>79410</v>
      </c>
      <c r="E41" s="25">
        <v>125000</v>
      </c>
      <c r="F41" s="25">
        <v>20000</v>
      </c>
    </row>
    <row r="42" spans="1:6" x14ac:dyDescent="0.3">
      <c r="A42" s="6" t="s">
        <v>54</v>
      </c>
      <c r="B42" s="6" t="s">
        <v>53</v>
      </c>
      <c r="C42" s="8">
        <v>191.79</v>
      </c>
      <c r="D42" s="8">
        <v>2545</v>
      </c>
      <c r="E42" s="25">
        <v>5000</v>
      </c>
      <c r="F42" s="25">
        <v>5000</v>
      </c>
    </row>
    <row r="43" spans="1:6" x14ac:dyDescent="0.3">
      <c r="A43" s="6" t="s">
        <v>81</v>
      </c>
      <c r="B43" s="6" t="s">
        <v>112</v>
      </c>
      <c r="C43" s="8">
        <v>2630.6</v>
      </c>
      <c r="D43" s="8">
        <v>3749.9</v>
      </c>
      <c r="E43" s="25">
        <v>10000</v>
      </c>
      <c r="F43" s="25">
        <v>4000</v>
      </c>
    </row>
    <row r="44" spans="1:6" x14ac:dyDescent="0.3">
      <c r="A44" s="6" t="s">
        <v>37</v>
      </c>
      <c r="B44" s="6" t="s">
        <v>40</v>
      </c>
      <c r="C44" s="8">
        <v>2974.3</v>
      </c>
      <c r="D44" s="8">
        <v>40372.53</v>
      </c>
      <c r="E44" s="25">
        <v>35000</v>
      </c>
      <c r="F44" s="25">
        <v>25000</v>
      </c>
    </row>
    <row r="45" spans="1:6" x14ac:dyDescent="0.3">
      <c r="A45" s="6" t="s">
        <v>69</v>
      </c>
      <c r="B45" s="6" t="s">
        <v>68</v>
      </c>
      <c r="C45" s="8">
        <v>664</v>
      </c>
      <c r="D45" s="8">
        <v>7057.1</v>
      </c>
      <c r="E45" s="25"/>
      <c r="F45" s="25">
        <v>5000</v>
      </c>
    </row>
    <row r="46" spans="1:6" x14ac:dyDescent="0.3">
      <c r="A46" s="6" t="s">
        <v>111</v>
      </c>
      <c r="B46" s="6" t="s">
        <v>110</v>
      </c>
      <c r="C46" s="8">
        <v>5299.73</v>
      </c>
      <c r="D46" s="8">
        <v>4188</v>
      </c>
      <c r="E46" s="25"/>
      <c r="F46" s="25">
        <v>15000</v>
      </c>
    </row>
    <row r="47" spans="1:6" x14ac:dyDescent="0.3">
      <c r="A47" s="6" t="s">
        <v>176</v>
      </c>
      <c r="B47" s="6" t="s">
        <v>177</v>
      </c>
      <c r="C47" s="8">
        <v>3215</v>
      </c>
      <c r="D47" s="8">
        <v>1275</v>
      </c>
      <c r="E47" s="25"/>
      <c r="F47" s="25">
        <v>4000</v>
      </c>
    </row>
    <row r="48" spans="1:6" x14ac:dyDescent="0.3">
      <c r="A48" s="6" t="s">
        <v>161</v>
      </c>
      <c r="B48" s="6" t="s">
        <v>160</v>
      </c>
      <c r="C48" s="8"/>
      <c r="D48" s="8"/>
      <c r="E48" s="25">
        <v>35000</v>
      </c>
      <c r="F48" s="25">
        <v>700000</v>
      </c>
    </row>
    <row r="49" spans="1:8" x14ac:dyDescent="0.3">
      <c r="A49" s="6" t="s">
        <v>17</v>
      </c>
      <c r="B49" s="6" t="s">
        <v>18</v>
      </c>
      <c r="C49" s="8">
        <v>560</v>
      </c>
      <c r="D49" s="8"/>
      <c r="E49" s="25">
        <v>3000</v>
      </c>
      <c r="F49" s="25">
        <v>2000</v>
      </c>
    </row>
    <row r="50" spans="1:8" x14ac:dyDescent="0.3">
      <c r="A50" s="6" t="s">
        <v>84</v>
      </c>
      <c r="B50" s="6" t="s">
        <v>83</v>
      </c>
      <c r="C50" s="8">
        <v>587.20000000000005</v>
      </c>
      <c r="D50" s="8"/>
      <c r="E50" s="25"/>
      <c r="F50" s="25">
        <v>1000</v>
      </c>
    </row>
    <row r="51" spans="1:8" x14ac:dyDescent="0.3">
      <c r="A51" s="6" t="s">
        <v>19</v>
      </c>
      <c r="B51" s="6" t="s">
        <v>20</v>
      </c>
      <c r="C51" s="8">
        <v>12520.53</v>
      </c>
      <c r="D51" s="8">
        <v>15293.95</v>
      </c>
      <c r="E51" s="25">
        <v>2000</v>
      </c>
      <c r="F51" s="25">
        <v>25000</v>
      </c>
    </row>
    <row r="52" spans="1:8" x14ac:dyDescent="0.3">
      <c r="A52" s="6" t="s">
        <v>105</v>
      </c>
      <c r="B52" s="6" t="s">
        <v>104</v>
      </c>
      <c r="C52" s="8">
        <v>46875</v>
      </c>
      <c r="D52" s="8">
        <v>12022.38</v>
      </c>
      <c r="E52" s="25"/>
      <c r="F52" s="25">
        <v>15000</v>
      </c>
    </row>
    <row r="53" spans="1:8" x14ac:dyDescent="0.3">
      <c r="A53" s="6" t="s">
        <v>38</v>
      </c>
      <c r="B53" s="6" t="s">
        <v>66</v>
      </c>
      <c r="C53" s="8">
        <v>454.9</v>
      </c>
      <c r="D53" s="8">
        <v>500</v>
      </c>
      <c r="E53" s="25"/>
      <c r="F53" s="25">
        <v>3000</v>
      </c>
    </row>
    <row r="54" spans="1:8" x14ac:dyDescent="0.3">
      <c r="A54" s="6" t="s">
        <v>21</v>
      </c>
      <c r="B54" s="6" t="s">
        <v>22</v>
      </c>
      <c r="C54" s="8">
        <v>19664.79</v>
      </c>
      <c r="D54" s="8"/>
      <c r="E54" s="25"/>
      <c r="F54" s="25">
        <v>15000</v>
      </c>
    </row>
    <row r="55" spans="1:8" x14ac:dyDescent="0.3">
      <c r="A55" s="6" t="s">
        <v>101</v>
      </c>
      <c r="B55" s="6" t="s">
        <v>100</v>
      </c>
      <c r="C55" s="8">
        <v>0</v>
      </c>
      <c r="D55" s="8">
        <v>70958</v>
      </c>
      <c r="E55" s="25"/>
      <c r="F55" s="25">
        <v>35000</v>
      </c>
    </row>
    <row r="56" spans="1:8" x14ac:dyDescent="0.3">
      <c r="A56" s="6" t="s">
        <v>192</v>
      </c>
      <c r="B56" s="6" t="s">
        <v>191</v>
      </c>
      <c r="C56" s="8">
        <v>610.29999999999995</v>
      </c>
      <c r="D56" s="8"/>
      <c r="E56" s="25"/>
      <c r="F56" s="25"/>
    </row>
    <row r="57" spans="1:8" x14ac:dyDescent="0.3">
      <c r="A57" s="6" t="s">
        <v>45</v>
      </c>
      <c r="B57" s="6" t="s">
        <v>44</v>
      </c>
      <c r="C57" s="8">
        <v>17050.259999999998</v>
      </c>
      <c r="D57" s="8">
        <v>11280.76</v>
      </c>
      <c r="E57" s="25">
        <v>15000</v>
      </c>
      <c r="F57" s="25">
        <v>12000</v>
      </c>
    </row>
    <row r="58" spans="1:8" x14ac:dyDescent="0.3">
      <c r="A58" s="6" t="s">
        <v>43</v>
      </c>
      <c r="B58" s="6" t="s">
        <v>95</v>
      </c>
      <c r="C58" s="8">
        <v>1381.75</v>
      </c>
      <c r="D58" s="8">
        <v>1464.59</v>
      </c>
      <c r="E58" s="25">
        <v>4000</v>
      </c>
      <c r="F58" s="25">
        <v>10000</v>
      </c>
    </row>
    <row r="59" spans="1:8" x14ac:dyDescent="0.3">
      <c r="A59" s="7"/>
      <c r="B59" s="7" t="s">
        <v>23</v>
      </c>
      <c r="C59" s="9">
        <f>C23+C26+C30</f>
        <v>1018980.1700000002</v>
      </c>
      <c r="D59" s="9">
        <v>360744.62</v>
      </c>
      <c r="E59" s="26">
        <f>E23+E27+E30</f>
        <v>784000</v>
      </c>
      <c r="F59" s="26">
        <f>F30+F26+F23</f>
        <v>1424000</v>
      </c>
    </row>
    <row r="60" spans="1:8" x14ac:dyDescent="0.3">
      <c r="A60" s="7"/>
      <c r="B60" s="7" t="s">
        <v>24</v>
      </c>
      <c r="C60" s="9">
        <f>C22-C59</f>
        <v>141655.0299999998</v>
      </c>
      <c r="D60" s="9">
        <v>27103.09</v>
      </c>
      <c r="E60" s="27">
        <f>E22-E59</f>
        <v>-129000</v>
      </c>
      <c r="F60" s="27">
        <f>-F59+F22</f>
        <v>-234000</v>
      </c>
      <c r="H60" s="28"/>
    </row>
    <row r="61" spans="1:8" x14ac:dyDescent="0.3">
      <c r="A61" s="5"/>
      <c r="B61" s="5" t="s">
        <v>190</v>
      </c>
      <c r="C61" s="23">
        <v>18229.740000000002</v>
      </c>
      <c r="D61" s="23">
        <v>3866.22</v>
      </c>
      <c r="E61" s="25"/>
      <c r="F61" s="25"/>
    </row>
    <row r="62" spans="1:8" x14ac:dyDescent="0.3">
      <c r="A62" s="6" t="s">
        <v>189</v>
      </c>
      <c r="B62" s="6" t="s">
        <v>188</v>
      </c>
      <c r="C62" s="8">
        <v>18229.740000000002</v>
      </c>
      <c r="D62" s="8">
        <v>3866.22</v>
      </c>
      <c r="E62" s="25"/>
      <c r="F62" s="25"/>
    </row>
    <row r="63" spans="1:8" x14ac:dyDescent="0.3">
      <c r="A63" s="5"/>
      <c r="B63" s="5" t="s">
        <v>94</v>
      </c>
      <c r="C63" s="23">
        <v>612.82000000000005</v>
      </c>
      <c r="D63" s="23">
        <v>-830</v>
      </c>
      <c r="E63" s="25"/>
      <c r="F63" s="25"/>
    </row>
    <row r="64" spans="1:8" x14ac:dyDescent="0.3">
      <c r="A64" s="6" t="s">
        <v>187</v>
      </c>
      <c r="B64" s="6" t="s">
        <v>186</v>
      </c>
      <c r="C64" s="8">
        <v>612.82000000000005</v>
      </c>
      <c r="D64" s="8">
        <v>-830</v>
      </c>
      <c r="E64" s="25"/>
      <c r="F64" s="25"/>
    </row>
    <row r="65" spans="1:6" x14ac:dyDescent="0.3">
      <c r="A65" s="7"/>
      <c r="B65" s="7" t="s">
        <v>91</v>
      </c>
      <c r="C65" s="9">
        <v>17616.919999999998</v>
      </c>
      <c r="D65" s="9">
        <v>4696.22</v>
      </c>
      <c r="E65" s="25"/>
      <c r="F65" s="25"/>
    </row>
    <row r="66" spans="1:6" x14ac:dyDescent="0.3">
      <c r="A66" s="7"/>
      <c r="B66" s="7" t="s">
        <v>90</v>
      </c>
      <c r="C66" s="9">
        <f>C60+C61-C63</f>
        <v>159271.94999999978</v>
      </c>
      <c r="D66" s="9">
        <v>31799.31</v>
      </c>
      <c r="E66" s="25"/>
      <c r="F66" s="25"/>
    </row>
    <row r="67" spans="1:6" x14ac:dyDescent="0.3">
      <c r="A67" s="7"/>
      <c r="B67" s="7" t="s">
        <v>89</v>
      </c>
      <c r="C67" s="9">
        <v>159271.70000000001</v>
      </c>
      <c r="D67" s="9">
        <v>31799.31</v>
      </c>
      <c r="E67" s="25"/>
      <c r="F67" s="25"/>
    </row>
    <row r="68" spans="1:6" x14ac:dyDescent="0.3">
      <c r="A68" s="7"/>
      <c r="B68" s="7" t="s">
        <v>88</v>
      </c>
      <c r="C68" s="9">
        <v>159271.70000000001</v>
      </c>
      <c r="D68" s="9">
        <v>31799.31</v>
      </c>
      <c r="E68" s="25"/>
      <c r="F68" s="25"/>
    </row>
  </sheetData>
  <sheetProtection algorithmName="SHA-512" hashValue="JC2QRNk9qkOMtTm00E9bPg1+9lrbyScoHyt9oedO6BNIA9GNXOYPAqPEpH/6cVB7npEqG3mu6vVr44licPehRQ==" saltValue="GkgEnHLto4COZEpd1vRvhw==" spinCount="100000" sheet="1" objects="1" scenarios="1"/>
  <mergeCells count="4">
    <mergeCell ref="A1:F1"/>
    <mergeCell ref="A3:F3"/>
    <mergeCell ref="C4:D4"/>
    <mergeCell ref="E4:F4"/>
  </mergeCells>
  <phoneticPr fontId="7" type="noConversion"/>
  <pageMargins left="0.75" right="0.75" top="1.3199999999999998" bottom="0.5" header="0.5" footer="0.75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28F5-109A-432E-86F2-606BC58A936E}">
  <dimension ref="A1:F64"/>
  <sheetViews>
    <sheetView zoomScaleNormal="100" workbookViewId="0">
      <pane ySplit="5" topLeftCell="A6" activePane="bottomLeft" state="frozenSplit"/>
      <selection pane="bottomLeft" activeCell="E1" sqref="E1"/>
    </sheetView>
  </sheetViews>
  <sheetFormatPr baseColWidth="10" defaultColWidth="8.88671875" defaultRowHeight="14.4" x14ac:dyDescent="0.3"/>
  <cols>
    <col min="1" max="1" width="7.6640625" customWidth="1"/>
    <col min="2" max="2" width="42.109375" customWidth="1"/>
    <col min="3" max="4" width="11.44140625" customWidth="1"/>
    <col min="5" max="5" width="11.33203125" bestFit="1" customWidth="1"/>
    <col min="6" max="6" width="11.21875" bestFit="1" customWidth="1"/>
  </cols>
  <sheetData>
    <row r="1" spans="1:6" ht="27" customHeight="1" x14ac:dyDescent="0.5">
      <c r="A1" s="2" t="s">
        <v>0</v>
      </c>
    </row>
    <row r="2" spans="1:6" ht="18" customHeight="1" x14ac:dyDescent="0.35">
      <c r="A2" s="3" t="s">
        <v>1</v>
      </c>
    </row>
    <row r="3" spans="1:6" ht="18" customHeight="1" x14ac:dyDescent="0.35">
      <c r="A3" s="1" t="s">
        <v>182</v>
      </c>
    </row>
    <row r="4" spans="1:6" x14ac:dyDescent="0.3">
      <c r="C4" s="72" t="s">
        <v>154</v>
      </c>
      <c r="D4" s="72"/>
      <c r="E4" s="72" t="s">
        <v>25</v>
      </c>
      <c r="F4" s="72"/>
    </row>
    <row r="5" spans="1:6" x14ac:dyDescent="0.3">
      <c r="A5" s="4" t="s">
        <v>3</v>
      </c>
      <c r="B5" s="4" t="s">
        <v>4</v>
      </c>
      <c r="C5" s="17" t="s">
        <v>5</v>
      </c>
      <c r="D5" s="17" t="s">
        <v>6</v>
      </c>
      <c r="E5" s="17">
        <v>2022</v>
      </c>
      <c r="F5" s="17">
        <v>2023</v>
      </c>
    </row>
    <row r="6" spans="1:6" x14ac:dyDescent="0.3">
      <c r="A6" s="5"/>
      <c r="B6" s="5" t="s">
        <v>64</v>
      </c>
      <c r="C6" s="23">
        <f>SUM(C7:C12)</f>
        <v>236480</v>
      </c>
      <c r="D6" s="23">
        <v>86257.67</v>
      </c>
      <c r="E6" s="20">
        <f>SUM(E7:E12)</f>
        <v>162000</v>
      </c>
      <c r="F6" s="20">
        <f>SUM(F7:F12)</f>
        <v>255000</v>
      </c>
    </row>
    <row r="7" spans="1:6" x14ac:dyDescent="0.3">
      <c r="A7" s="6" t="s">
        <v>153</v>
      </c>
      <c r="B7" s="6" t="s">
        <v>152</v>
      </c>
      <c r="C7" s="8">
        <v>32315</v>
      </c>
      <c r="D7" s="8"/>
      <c r="E7" s="13">
        <v>27000</v>
      </c>
      <c r="F7" s="13">
        <v>50000</v>
      </c>
    </row>
    <row r="8" spans="1:6" x14ac:dyDescent="0.3">
      <c r="A8" s="6" t="s">
        <v>63</v>
      </c>
      <c r="B8" s="6" t="s">
        <v>151</v>
      </c>
      <c r="C8" s="8">
        <v>20612</v>
      </c>
      <c r="D8" s="8"/>
      <c r="E8" s="13">
        <v>10000</v>
      </c>
      <c r="F8" s="13">
        <v>25000</v>
      </c>
    </row>
    <row r="9" spans="1:6" x14ac:dyDescent="0.3">
      <c r="A9" s="6" t="s">
        <v>26</v>
      </c>
      <c r="B9" s="6" t="s">
        <v>31</v>
      </c>
      <c r="C9" s="8">
        <v>77729</v>
      </c>
      <c r="D9" s="8">
        <v>86257.67</v>
      </c>
      <c r="E9" s="13"/>
      <c r="F9" s="13">
        <v>90000</v>
      </c>
    </row>
    <row r="10" spans="1:6" x14ac:dyDescent="0.3">
      <c r="A10" s="6" t="s">
        <v>27</v>
      </c>
      <c r="B10" s="6" t="s">
        <v>32</v>
      </c>
      <c r="C10" s="8">
        <v>18385</v>
      </c>
      <c r="D10" s="8"/>
      <c r="E10" s="13">
        <v>15000</v>
      </c>
      <c r="F10" s="13">
        <v>20000</v>
      </c>
    </row>
    <row r="11" spans="1:6" x14ac:dyDescent="0.3">
      <c r="A11" s="6" t="s">
        <v>61</v>
      </c>
      <c r="B11" s="6" t="s">
        <v>33</v>
      </c>
      <c r="C11" s="8">
        <v>39836</v>
      </c>
      <c r="D11" s="8"/>
      <c r="E11" s="13">
        <v>35000</v>
      </c>
      <c r="F11" s="13">
        <v>35000</v>
      </c>
    </row>
    <row r="12" spans="1:6" x14ac:dyDescent="0.3">
      <c r="A12" s="6" t="s">
        <v>60</v>
      </c>
      <c r="B12" s="6" t="s">
        <v>59</v>
      </c>
      <c r="C12" s="8">
        <v>47603</v>
      </c>
      <c r="D12" s="8"/>
      <c r="E12" s="13">
        <v>75000</v>
      </c>
      <c r="F12" s="13">
        <v>35000</v>
      </c>
    </row>
    <row r="13" spans="1:6" x14ac:dyDescent="0.3">
      <c r="A13" s="5"/>
      <c r="B13" s="5" t="s">
        <v>7</v>
      </c>
      <c r="C13" s="23">
        <f>SUM(C14:C20)</f>
        <v>153383.72</v>
      </c>
      <c r="D13" s="23">
        <v>233666.27</v>
      </c>
      <c r="E13" s="18">
        <f>SUM(E14:E20)</f>
        <v>135000</v>
      </c>
      <c r="F13" s="18">
        <f>SUM(F14:F20)</f>
        <v>190000</v>
      </c>
    </row>
    <row r="14" spans="1:6" x14ac:dyDescent="0.3">
      <c r="A14" s="6" t="s">
        <v>75</v>
      </c>
      <c r="B14" s="6" t="s">
        <v>183</v>
      </c>
      <c r="C14" s="8"/>
      <c r="D14" s="8"/>
      <c r="E14" s="13">
        <v>40000</v>
      </c>
      <c r="F14" s="13">
        <v>55000</v>
      </c>
    </row>
    <row r="15" spans="1:6" x14ac:dyDescent="0.3">
      <c r="A15" s="6" t="s">
        <v>58</v>
      </c>
      <c r="B15" s="6" t="s">
        <v>57</v>
      </c>
      <c r="C15" s="8">
        <v>63200</v>
      </c>
      <c r="D15" s="8">
        <v>62620</v>
      </c>
      <c r="E15" s="13">
        <v>70000</v>
      </c>
      <c r="F15" s="13">
        <v>80000</v>
      </c>
    </row>
    <row r="16" spans="1:6" x14ac:dyDescent="0.3">
      <c r="A16" s="6" t="s">
        <v>142</v>
      </c>
      <c r="B16" s="6" t="s">
        <v>141</v>
      </c>
      <c r="C16" s="8">
        <v>300</v>
      </c>
      <c r="D16" s="8"/>
      <c r="E16" s="13"/>
      <c r="F16" s="13"/>
    </row>
    <row r="17" spans="1:6" x14ac:dyDescent="0.3">
      <c r="A17" s="6" t="s">
        <v>181</v>
      </c>
      <c r="B17" s="6" t="s">
        <v>180</v>
      </c>
      <c r="C17" s="8">
        <v>50100</v>
      </c>
      <c r="D17" s="8"/>
      <c r="E17" s="13"/>
      <c r="F17" s="13"/>
    </row>
    <row r="18" spans="1:6" x14ac:dyDescent="0.3">
      <c r="A18" s="6" t="s">
        <v>29</v>
      </c>
      <c r="B18" s="6" t="s">
        <v>56</v>
      </c>
      <c r="C18" s="8">
        <v>14025</v>
      </c>
      <c r="D18" s="8">
        <v>85867.94</v>
      </c>
      <c r="E18" s="13">
        <v>10000</v>
      </c>
      <c r="F18" s="13">
        <v>10000</v>
      </c>
    </row>
    <row r="19" spans="1:6" x14ac:dyDescent="0.3">
      <c r="A19" s="6" t="s">
        <v>30</v>
      </c>
      <c r="B19" s="6" t="s">
        <v>55</v>
      </c>
      <c r="C19" s="8">
        <v>22458.720000000001</v>
      </c>
      <c r="D19" s="8">
        <v>13425.33</v>
      </c>
      <c r="E19" s="13">
        <v>15000</v>
      </c>
      <c r="F19" s="13">
        <v>40000</v>
      </c>
    </row>
    <row r="20" spans="1:6" x14ac:dyDescent="0.3">
      <c r="A20" s="6" t="s">
        <v>8</v>
      </c>
      <c r="B20" s="6" t="s">
        <v>9</v>
      </c>
      <c r="C20" s="8">
        <v>3300</v>
      </c>
      <c r="D20" s="8">
        <v>71753</v>
      </c>
      <c r="E20" s="13"/>
      <c r="F20" s="13">
        <v>5000</v>
      </c>
    </row>
    <row r="21" spans="1:6" x14ac:dyDescent="0.3">
      <c r="A21" s="7"/>
      <c r="B21" s="7" t="s">
        <v>10</v>
      </c>
      <c r="C21" s="9">
        <f>C6+C13+1</f>
        <v>389864.72</v>
      </c>
      <c r="D21" s="9">
        <v>319923.94</v>
      </c>
      <c r="E21" s="16">
        <f>E13+E6</f>
        <v>297000</v>
      </c>
      <c r="F21" s="16">
        <f>F13+F6</f>
        <v>445000</v>
      </c>
    </row>
    <row r="22" spans="1:6" x14ac:dyDescent="0.3">
      <c r="A22" s="5"/>
      <c r="B22" s="5" t="s">
        <v>136</v>
      </c>
      <c r="C22" s="23">
        <v>81931.89</v>
      </c>
      <c r="D22" s="23">
        <v>11205</v>
      </c>
      <c r="E22" s="18">
        <f>SUM(E23:E24)</f>
        <v>89500</v>
      </c>
      <c r="F22" s="18">
        <f>SUM(F23:F24)</f>
        <v>45000</v>
      </c>
    </row>
    <row r="23" spans="1:6" x14ac:dyDescent="0.3">
      <c r="A23" s="6" t="s">
        <v>135</v>
      </c>
      <c r="B23" s="6" t="s">
        <v>134</v>
      </c>
      <c r="C23" s="8">
        <v>73859</v>
      </c>
      <c r="D23" s="8"/>
      <c r="E23" s="13">
        <v>75000</v>
      </c>
      <c r="F23" s="13">
        <v>35000</v>
      </c>
    </row>
    <row r="24" spans="1:6" x14ac:dyDescent="0.3">
      <c r="A24" s="6" t="s">
        <v>133</v>
      </c>
      <c r="B24" s="6" t="s">
        <v>132</v>
      </c>
      <c r="C24" s="8">
        <v>8072.89</v>
      </c>
      <c r="D24" s="8"/>
      <c r="E24" s="13">
        <v>14500</v>
      </c>
      <c r="F24" s="13">
        <v>10000</v>
      </c>
    </row>
    <row r="25" spans="1:6" x14ac:dyDescent="0.3">
      <c r="A25" s="6" t="s">
        <v>169</v>
      </c>
      <c r="B25" s="6" t="s">
        <v>168</v>
      </c>
      <c r="C25" s="8"/>
      <c r="D25" s="8">
        <v>11205</v>
      </c>
      <c r="E25" s="25"/>
      <c r="F25" s="25"/>
    </row>
    <row r="26" spans="1:6" x14ac:dyDescent="0.3">
      <c r="A26" s="5"/>
      <c r="B26" s="5" t="s">
        <v>11</v>
      </c>
      <c r="C26" s="23">
        <v>262623.5</v>
      </c>
      <c r="D26" s="23">
        <v>158602.79999999999</v>
      </c>
      <c r="E26" s="24">
        <f>SUM(E27:E29)</f>
        <v>190000</v>
      </c>
      <c r="F26" s="24">
        <f>SUM(F27:F29)</f>
        <v>262000</v>
      </c>
    </row>
    <row r="27" spans="1:6" x14ac:dyDescent="0.3">
      <c r="A27" s="6" t="s">
        <v>12</v>
      </c>
      <c r="B27" s="6" t="s">
        <v>13</v>
      </c>
      <c r="C27" s="8">
        <v>245123.5</v>
      </c>
      <c r="D27" s="8">
        <v>145602.79999999999</v>
      </c>
      <c r="E27" s="25">
        <v>160000</v>
      </c>
      <c r="F27" s="25">
        <v>230000</v>
      </c>
    </row>
    <row r="28" spans="1:6" x14ac:dyDescent="0.3">
      <c r="A28" s="6" t="s">
        <v>36</v>
      </c>
      <c r="B28" s="6" t="s">
        <v>41</v>
      </c>
      <c r="C28" s="8">
        <v>16000</v>
      </c>
      <c r="D28" s="8">
        <v>13000</v>
      </c>
      <c r="E28" s="25">
        <v>30000</v>
      </c>
      <c r="F28" s="25">
        <v>30000</v>
      </c>
    </row>
    <row r="29" spans="1:6" x14ac:dyDescent="0.3">
      <c r="A29" s="6" t="s">
        <v>123</v>
      </c>
      <c r="B29" s="6" t="s">
        <v>122</v>
      </c>
      <c r="C29" s="8">
        <v>1500</v>
      </c>
      <c r="D29" s="8"/>
      <c r="E29" s="25"/>
      <c r="F29" s="25">
        <v>2000</v>
      </c>
    </row>
    <row r="30" spans="1:6" x14ac:dyDescent="0.3">
      <c r="A30" s="5"/>
      <c r="B30" s="5" t="s">
        <v>14</v>
      </c>
      <c r="C30" s="23">
        <v>116302.92</v>
      </c>
      <c r="D30" s="23">
        <v>118979.15</v>
      </c>
      <c r="E30" s="24">
        <f>SUM(E31:E47)</f>
        <v>120000</v>
      </c>
      <c r="F30" s="24">
        <f>SUM(F31:F47)</f>
        <v>103000</v>
      </c>
    </row>
    <row r="31" spans="1:6" x14ac:dyDescent="0.3">
      <c r="A31" s="6" t="s">
        <v>73</v>
      </c>
      <c r="B31" s="6" t="s">
        <v>72</v>
      </c>
      <c r="C31" s="8">
        <v>300</v>
      </c>
      <c r="D31" s="8"/>
      <c r="E31" s="25"/>
      <c r="F31" s="25">
        <v>1000</v>
      </c>
    </row>
    <row r="32" spans="1:6" x14ac:dyDescent="0.3">
      <c r="A32" s="6" t="s">
        <v>71</v>
      </c>
      <c r="B32" s="6" t="s">
        <v>70</v>
      </c>
      <c r="C32" s="8">
        <v>6088</v>
      </c>
      <c r="D32" s="8">
        <v>6000</v>
      </c>
      <c r="E32" s="25"/>
      <c r="F32" s="25">
        <v>1500</v>
      </c>
    </row>
    <row r="33" spans="1:6" x14ac:dyDescent="0.3">
      <c r="A33" s="6" t="s">
        <v>15</v>
      </c>
      <c r="B33" s="6" t="s">
        <v>16</v>
      </c>
      <c r="C33" s="8">
        <v>5094.12</v>
      </c>
      <c r="D33" s="8">
        <v>63250</v>
      </c>
      <c r="E33" s="25"/>
      <c r="F33" s="25">
        <v>5000</v>
      </c>
    </row>
    <row r="34" spans="1:6" x14ac:dyDescent="0.3">
      <c r="A34" s="6" t="s">
        <v>81</v>
      </c>
      <c r="B34" s="6" t="s">
        <v>112</v>
      </c>
      <c r="C34" s="8">
        <v>1987.16</v>
      </c>
      <c r="D34" s="8"/>
      <c r="E34" s="25">
        <v>2500</v>
      </c>
      <c r="F34" s="25"/>
    </row>
    <row r="35" spans="1:6" x14ac:dyDescent="0.3">
      <c r="A35" s="6" t="s">
        <v>37</v>
      </c>
      <c r="B35" s="6" t="s">
        <v>40</v>
      </c>
      <c r="C35" s="8">
        <v>15423.5</v>
      </c>
      <c r="D35" s="8"/>
      <c r="E35" s="25">
        <v>40000</v>
      </c>
      <c r="F35" s="25">
        <v>25000</v>
      </c>
    </row>
    <row r="36" spans="1:6" x14ac:dyDescent="0.3">
      <c r="A36" s="6" t="s">
        <v>69</v>
      </c>
      <c r="B36" s="6" t="s">
        <v>184</v>
      </c>
      <c r="C36" s="8"/>
      <c r="D36" s="8"/>
      <c r="E36" s="25">
        <v>6000</v>
      </c>
      <c r="F36" s="25"/>
    </row>
    <row r="37" spans="1:6" x14ac:dyDescent="0.3">
      <c r="A37" s="6" t="s">
        <v>176</v>
      </c>
      <c r="B37" s="6" t="s">
        <v>177</v>
      </c>
      <c r="C37" s="8"/>
      <c r="D37" s="8">
        <v>180</v>
      </c>
      <c r="E37" s="25"/>
      <c r="F37" s="25"/>
    </row>
    <row r="38" spans="1:6" x14ac:dyDescent="0.3">
      <c r="A38" s="6" t="s">
        <v>17</v>
      </c>
      <c r="B38" s="6" t="s">
        <v>18</v>
      </c>
      <c r="C38" s="8">
        <v>10523.98</v>
      </c>
      <c r="D38" s="8">
        <v>8682</v>
      </c>
      <c r="E38" s="25">
        <v>20000</v>
      </c>
      <c r="F38" s="25">
        <v>5000</v>
      </c>
    </row>
    <row r="39" spans="1:6" x14ac:dyDescent="0.3">
      <c r="A39" s="6" t="s">
        <v>84</v>
      </c>
      <c r="B39" s="6" t="s">
        <v>83</v>
      </c>
      <c r="C39" s="8">
        <v>3764</v>
      </c>
      <c r="D39" s="8"/>
      <c r="E39" s="25"/>
      <c r="F39" s="25">
        <v>2500</v>
      </c>
    </row>
    <row r="40" spans="1:6" x14ac:dyDescent="0.3">
      <c r="A40" s="6" t="s">
        <v>19</v>
      </c>
      <c r="B40" s="6" t="s">
        <v>20</v>
      </c>
      <c r="C40" s="8">
        <v>8373.59</v>
      </c>
      <c r="D40" s="8">
        <v>11369.45</v>
      </c>
      <c r="E40" s="25"/>
      <c r="F40" s="25">
        <v>10000</v>
      </c>
    </row>
    <row r="41" spans="1:6" x14ac:dyDescent="0.3">
      <c r="A41" s="6" t="s">
        <v>49</v>
      </c>
      <c r="B41" s="6" t="s">
        <v>48</v>
      </c>
      <c r="C41" s="8"/>
      <c r="D41" s="8">
        <v>2340</v>
      </c>
      <c r="E41" s="25"/>
      <c r="F41" s="25"/>
    </row>
    <row r="42" spans="1:6" x14ac:dyDescent="0.3">
      <c r="A42" s="6" t="s">
        <v>47</v>
      </c>
      <c r="B42" s="6" t="s">
        <v>46</v>
      </c>
      <c r="C42" s="8">
        <v>24090</v>
      </c>
      <c r="D42" s="8">
        <v>23400</v>
      </c>
      <c r="E42" s="25">
        <v>30000</v>
      </c>
      <c r="F42" s="25">
        <v>27000</v>
      </c>
    </row>
    <row r="43" spans="1:6" x14ac:dyDescent="0.3">
      <c r="A43" s="6" t="s">
        <v>38</v>
      </c>
      <c r="B43" s="6" t="s">
        <v>66</v>
      </c>
      <c r="C43" s="8">
        <v>33710.300000000003</v>
      </c>
      <c r="D43" s="8"/>
      <c r="E43" s="25"/>
      <c r="F43" s="25">
        <v>16000</v>
      </c>
    </row>
    <row r="44" spans="1:6" x14ac:dyDescent="0.3">
      <c r="A44" s="6" t="s">
        <v>21</v>
      </c>
      <c r="B44" s="6" t="s">
        <v>22</v>
      </c>
      <c r="C44" s="8">
        <v>4181.82</v>
      </c>
      <c r="D44" s="8"/>
      <c r="E44" s="25">
        <v>15000</v>
      </c>
      <c r="F44" s="25">
        <v>5000</v>
      </c>
    </row>
    <row r="45" spans="1:6" x14ac:dyDescent="0.3">
      <c r="A45" s="6" t="s">
        <v>159</v>
      </c>
      <c r="B45" s="6" t="s">
        <v>158</v>
      </c>
      <c r="C45" s="8"/>
      <c r="D45" s="8">
        <v>3200</v>
      </c>
      <c r="E45" s="25">
        <v>4000</v>
      </c>
      <c r="F45" s="25"/>
    </row>
    <row r="46" spans="1:6" x14ac:dyDescent="0.3">
      <c r="A46" s="6" t="s">
        <v>45</v>
      </c>
      <c r="B46" s="6" t="s">
        <v>44</v>
      </c>
      <c r="C46" s="8">
        <v>2766.44</v>
      </c>
      <c r="D46" s="8">
        <v>557.70000000000005</v>
      </c>
      <c r="E46" s="25"/>
      <c r="F46" s="25">
        <v>5000</v>
      </c>
    </row>
    <row r="47" spans="1:6" x14ac:dyDescent="0.3">
      <c r="A47" s="6" t="s">
        <v>43</v>
      </c>
      <c r="B47" s="6" t="s">
        <v>95</v>
      </c>
      <c r="C47" s="8">
        <v>0</v>
      </c>
      <c r="D47" s="8"/>
      <c r="E47" s="25">
        <v>2500</v>
      </c>
      <c r="F47" s="25"/>
    </row>
    <row r="48" spans="1:6" x14ac:dyDescent="0.3">
      <c r="A48" s="7"/>
      <c r="B48" s="7" t="s">
        <v>23</v>
      </c>
      <c r="C48" s="9">
        <v>460858.31</v>
      </c>
      <c r="D48" s="9">
        <v>288786.95</v>
      </c>
      <c r="E48" s="26">
        <f>E22+E26+E30</f>
        <v>399500</v>
      </c>
      <c r="F48" s="26">
        <f>F22+F26+F30</f>
        <v>410000</v>
      </c>
    </row>
    <row r="49" spans="1:6" x14ac:dyDescent="0.3">
      <c r="A49" s="7"/>
      <c r="B49" s="7" t="s">
        <v>24</v>
      </c>
      <c r="C49" s="9">
        <f>C21-C48</f>
        <v>-70993.590000000026</v>
      </c>
      <c r="D49" s="9">
        <v>31136.99</v>
      </c>
      <c r="E49" s="27">
        <f>E21-E48</f>
        <v>-102500</v>
      </c>
      <c r="F49" s="27">
        <f>F21-F48</f>
        <v>35000</v>
      </c>
    </row>
    <row r="50" spans="1:6" x14ac:dyDescent="0.3">
      <c r="C50" s="28"/>
      <c r="D50" s="28"/>
      <c r="E50" s="25"/>
      <c r="F50" s="25"/>
    </row>
    <row r="51" spans="1:6" x14ac:dyDescent="0.3">
      <c r="C51" s="28"/>
      <c r="D51" s="28"/>
      <c r="E51" s="25"/>
      <c r="F51" s="25"/>
    </row>
    <row r="52" spans="1:6" x14ac:dyDescent="0.3">
      <c r="C52" s="28"/>
      <c r="D52" s="28"/>
      <c r="E52" s="25"/>
      <c r="F52" s="25"/>
    </row>
    <row r="53" spans="1:6" x14ac:dyDescent="0.3">
      <c r="C53" s="28"/>
      <c r="D53" s="28"/>
      <c r="E53" s="25"/>
      <c r="F53" s="25"/>
    </row>
    <row r="54" spans="1:6" x14ac:dyDescent="0.3">
      <c r="C54" s="28"/>
      <c r="D54" s="28"/>
      <c r="E54" s="25"/>
      <c r="F54" s="25"/>
    </row>
    <row r="55" spans="1:6" x14ac:dyDescent="0.3">
      <c r="E55" s="13"/>
      <c r="F55" s="13"/>
    </row>
    <row r="56" spans="1:6" x14ac:dyDescent="0.3">
      <c r="E56" s="13"/>
      <c r="F56" s="13"/>
    </row>
    <row r="57" spans="1:6" x14ac:dyDescent="0.3">
      <c r="E57" s="13"/>
      <c r="F57" s="13"/>
    </row>
    <row r="58" spans="1:6" x14ac:dyDescent="0.3">
      <c r="E58" s="13"/>
      <c r="F58" s="13"/>
    </row>
    <row r="59" spans="1:6" x14ac:dyDescent="0.3">
      <c r="E59" s="13"/>
      <c r="F59" s="13"/>
    </row>
    <row r="60" spans="1:6" x14ac:dyDescent="0.3">
      <c r="E60" s="13"/>
      <c r="F60" s="13"/>
    </row>
    <row r="61" spans="1:6" x14ac:dyDescent="0.3">
      <c r="E61" s="13"/>
      <c r="F61" s="13"/>
    </row>
    <row r="62" spans="1:6" x14ac:dyDescent="0.3">
      <c r="E62" s="13"/>
      <c r="F62" s="13"/>
    </row>
    <row r="63" spans="1:6" x14ac:dyDescent="0.3">
      <c r="E63" s="13"/>
      <c r="F63" s="13"/>
    </row>
    <row r="64" spans="1:6" x14ac:dyDescent="0.3">
      <c r="E64" s="13"/>
      <c r="F64" s="13"/>
    </row>
  </sheetData>
  <sheetProtection algorithmName="SHA-512" hashValue="pwguGlYWbfqJP1OgYyYGkaqXDO9VavAzkdgRMZWu5TKtAhjvCnDnhKDf+UJ3ExJGRV4gKH0+njWCmuvAD9itCA==" saltValue="na9JppfIMT9voL/KhDfYRA==" spinCount="100000" sheet="1" objects="1" scenarios="1"/>
  <mergeCells count="2">
    <mergeCell ref="C4:D4"/>
    <mergeCell ref="E4:F4"/>
  </mergeCells>
  <pageMargins left="0.75" right="0.75" top="0.75" bottom="0.5" header="0.5" footer="0.7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78D24-F12B-4F52-83C4-A4D4A5E32BE1}">
  <dimension ref="A1:F70"/>
  <sheetViews>
    <sheetView zoomScaleNormal="100" workbookViewId="0">
      <pane ySplit="5" topLeftCell="A6" activePane="bottomLeft" state="frozenSplit"/>
      <selection pane="bottomLeft" activeCell="E1" sqref="E1"/>
    </sheetView>
  </sheetViews>
  <sheetFormatPr baseColWidth="10" defaultColWidth="8.88671875" defaultRowHeight="14.4" x14ac:dyDescent="0.3"/>
  <cols>
    <col min="1" max="1" width="20.109375" customWidth="1"/>
    <col min="2" max="2" width="32.77734375" customWidth="1"/>
    <col min="3" max="5" width="11.44140625" customWidth="1"/>
    <col min="6" max="6" width="10.21875" bestFit="1" customWidth="1"/>
  </cols>
  <sheetData>
    <row r="1" spans="1:6" ht="27" customHeight="1" x14ac:dyDescent="0.5">
      <c r="A1" s="2" t="s">
        <v>0</v>
      </c>
    </row>
    <row r="2" spans="1:6" ht="18" customHeight="1" x14ac:dyDescent="0.35">
      <c r="A2" s="3" t="s">
        <v>1</v>
      </c>
    </row>
    <row r="3" spans="1:6" ht="18" customHeight="1" x14ac:dyDescent="0.35">
      <c r="A3" s="1" t="s">
        <v>170</v>
      </c>
    </row>
    <row r="4" spans="1:6" x14ac:dyDescent="0.3">
      <c r="C4" s="72" t="s">
        <v>171</v>
      </c>
      <c r="D4" s="72"/>
      <c r="E4" s="72" t="s">
        <v>25</v>
      </c>
      <c r="F4" s="72"/>
    </row>
    <row r="5" spans="1:6" x14ac:dyDescent="0.3">
      <c r="A5" s="4" t="s">
        <v>3</v>
      </c>
      <c r="B5" s="4" t="s">
        <v>4</v>
      </c>
      <c r="C5" s="4">
        <v>2022</v>
      </c>
      <c r="D5" s="4">
        <v>2021</v>
      </c>
      <c r="E5" s="4">
        <v>2022</v>
      </c>
      <c r="F5" s="4">
        <v>2023</v>
      </c>
    </row>
    <row r="6" spans="1:6" x14ac:dyDescent="0.3">
      <c r="A6" s="5"/>
      <c r="B6" s="5" t="s">
        <v>64</v>
      </c>
      <c r="C6" s="23">
        <f>SUM(C7:C13)</f>
        <v>206874.97999999998</v>
      </c>
      <c r="D6" s="23">
        <f>SUM(D7:D13)</f>
        <v>175000.65</v>
      </c>
      <c r="E6" s="23">
        <f t="shared" ref="E6:F6" si="0">SUM(E7:E13)</f>
        <v>184000</v>
      </c>
      <c r="F6" s="23">
        <f t="shared" si="0"/>
        <v>123000</v>
      </c>
    </row>
    <row r="7" spans="1:6" x14ac:dyDescent="0.3">
      <c r="A7" s="6" t="s">
        <v>153</v>
      </c>
      <c r="B7" s="6" t="s">
        <v>152</v>
      </c>
      <c r="C7" s="8">
        <v>1920</v>
      </c>
      <c r="D7" s="8">
        <v>1576.88</v>
      </c>
      <c r="E7" s="8"/>
      <c r="F7" s="25"/>
    </row>
    <row r="8" spans="1:6" x14ac:dyDescent="0.3">
      <c r="A8" s="6" t="s">
        <v>63</v>
      </c>
      <c r="B8" s="6" t="s">
        <v>151</v>
      </c>
      <c r="C8" s="8">
        <v>42195</v>
      </c>
      <c r="D8" s="8"/>
      <c r="E8" s="8">
        <v>80000</v>
      </c>
      <c r="F8" s="25">
        <v>50000</v>
      </c>
    </row>
    <row r="9" spans="1:6" x14ac:dyDescent="0.3">
      <c r="A9" s="6" t="s">
        <v>146</v>
      </c>
      <c r="B9" s="6" t="s">
        <v>145</v>
      </c>
      <c r="C9" s="8">
        <v>1592</v>
      </c>
      <c r="D9" s="8">
        <v>14441</v>
      </c>
      <c r="E9" s="8"/>
      <c r="F9" s="25"/>
    </row>
    <row r="10" spans="1:6" x14ac:dyDescent="0.3">
      <c r="A10" s="6" t="s">
        <v>26</v>
      </c>
      <c r="B10" s="6" t="s">
        <v>31</v>
      </c>
      <c r="C10" s="8">
        <v>102607.98</v>
      </c>
      <c r="D10" s="8">
        <v>158982.76999999999</v>
      </c>
      <c r="E10" s="8">
        <v>52000</v>
      </c>
      <c r="F10" s="29">
        <v>35000</v>
      </c>
    </row>
    <row r="11" spans="1:6" x14ac:dyDescent="0.3">
      <c r="A11" s="6" t="s">
        <v>27</v>
      </c>
      <c r="B11" s="6" t="s">
        <v>32</v>
      </c>
      <c r="C11" s="8">
        <v>10365</v>
      </c>
      <c r="D11" s="8"/>
      <c r="E11" s="8">
        <v>30000</v>
      </c>
      <c r="F11" s="25">
        <v>8000</v>
      </c>
    </row>
    <row r="12" spans="1:6" x14ac:dyDescent="0.3">
      <c r="A12" s="6" t="s">
        <v>61</v>
      </c>
      <c r="B12" s="6" t="s">
        <v>33</v>
      </c>
      <c r="C12" s="8">
        <v>15542</v>
      </c>
      <c r="D12" s="8"/>
      <c r="E12" s="8">
        <v>22000</v>
      </c>
      <c r="F12" s="25">
        <v>5000</v>
      </c>
    </row>
    <row r="13" spans="1:6" x14ac:dyDescent="0.3">
      <c r="A13" s="6" t="s">
        <v>60</v>
      </c>
      <c r="B13" s="6" t="s">
        <v>59</v>
      </c>
      <c r="C13" s="8">
        <v>32653</v>
      </c>
      <c r="D13" s="8"/>
      <c r="E13" s="8"/>
      <c r="F13" s="25">
        <v>25000</v>
      </c>
    </row>
    <row r="14" spans="1:6" x14ac:dyDescent="0.3">
      <c r="A14" s="5"/>
      <c r="B14" s="5" t="s">
        <v>7</v>
      </c>
      <c r="C14" s="23">
        <f>SUM(C15:C20)</f>
        <v>96667.72</v>
      </c>
      <c r="D14" s="23">
        <v>96091.839999999997</v>
      </c>
      <c r="E14" s="23">
        <v>227000</v>
      </c>
      <c r="F14" s="24">
        <f>SUM(F15:F20)</f>
        <v>175000</v>
      </c>
    </row>
    <row r="15" spans="1:6" x14ac:dyDescent="0.3">
      <c r="A15" s="6" t="s">
        <v>75</v>
      </c>
      <c r="B15" s="6" t="s">
        <v>74</v>
      </c>
      <c r="C15" s="8">
        <v>7650</v>
      </c>
      <c r="D15" s="8"/>
      <c r="E15" s="8">
        <v>75000</v>
      </c>
      <c r="F15" s="25">
        <v>55000</v>
      </c>
    </row>
    <row r="16" spans="1:6" x14ac:dyDescent="0.3">
      <c r="A16" s="6" t="s">
        <v>212</v>
      </c>
      <c r="B16" s="6" t="s">
        <v>213</v>
      </c>
      <c r="C16" s="8">
        <v>2550</v>
      </c>
      <c r="D16" s="8"/>
      <c r="E16" s="8"/>
      <c r="F16" s="25"/>
    </row>
    <row r="17" spans="1:6" x14ac:dyDescent="0.3">
      <c r="A17" s="6" t="s">
        <v>58</v>
      </c>
      <c r="B17" s="6" t="s">
        <v>57</v>
      </c>
      <c r="C17" s="8">
        <v>46700</v>
      </c>
      <c r="D17" s="8">
        <v>15200</v>
      </c>
      <c r="E17" s="8">
        <v>70000</v>
      </c>
      <c r="F17" s="25">
        <v>80000</v>
      </c>
    </row>
    <row r="18" spans="1:6" x14ac:dyDescent="0.3">
      <c r="A18" s="6" t="s">
        <v>29</v>
      </c>
      <c r="B18" s="6" t="s">
        <v>56</v>
      </c>
      <c r="C18" s="8">
        <v>5394</v>
      </c>
      <c r="D18" s="8">
        <v>45882.1</v>
      </c>
      <c r="E18" s="8">
        <v>60000</v>
      </c>
      <c r="F18" s="29">
        <v>5000</v>
      </c>
    </row>
    <row r="19" spans="1:6" x14ac:dyDescent="0.3">
      <c r="A19" s="6" t="s">
        <v>30</v>
      </c>
      <c r="B19" s="6" t="s">
        <v>55</v>
      </c>
      <c r="C19" s="8">
        <v>32873.72</v>
      </c>
      <c r="D19" s="8">
        <v>22397.03</v>
      </c>
      <c r="E19" s="8">
        <v>22000</v>
      </c>
      <c r="F19" s="25">
        <v>25000</v>
      </c>
    </row>
    <row r="20" spans="1:6" x14ac:dyDescent="0.3">
      <c r="A20" s="6" t="s">
        <v>8</v>
      </c>
      <c r="B20" s="6" t="s">
        <v>9</v>
      </c>
      <c r="C20" s="8">
        <v>1500</v>
      </c>
      <c r="D20" s="8">
        <v>12612.71</v>
      </c>
      <c r="E20" s="8"/>
      <c r="F20" s="25">
        <v>10000</v>
      </c>
    </row>
    <row r="21" spans="1:6" x14ac:dyDescent="0.3">
      <c r="A21" s="7"/>
      <c r="B21" s="7" t="s">
        <v>10</v>
      </c>
      <c r="C21" s="9">
        <f>C6+C14</f>
        <v>303542.69999999995</v>
      </c>
      <c r="D21" s="9">
        <v>271092.49</v>
      </c>
      <c r="E21" s="9">
        <v>411000</v>
      </c>
      <c r="F21" s="26">
        <f>F6+F14</f>
        <v>298000</v>
      </c>
    </row>
    <row r="22" spans="1:6" x14ac:dyDescent="0.3">
      <c r="A22" s="5"/>
      <c r="B22" s="5" t="s">
        <v>136</v>
      </c>
      <c r="C22" s="23">
        <v>24619.62</v>
      </c>
      <c r="D22" s="24">
        <f t="shared" ref="D22:E22" si="1">SUM(D23:D25)</f>
        <v>9669.25</v>
      </c>
      <c r="E22" s="24">
        <f t="shared" si="1"/>
        <v>86828</v>
      </c>
      <c r="F22" s="24">
        <f>SUM(F23:F25)</f>
        <v>18000</v>
      </c>
    </row>
    <row r="23" spans="1:6" x14ac:dyDescent="0.3">
      <c r="A23" s="6" t="s">
        <v>135</v>
      </c>
      <c r="B23" s="6" t="s">
        <v>134</v>
      </c>
      <c r="C23" s="8">
        <v>1592</v>
      </c>
      <c r="D23" s="8">
        <v>9669.25</v>
      </c>
      <c r="E23" s="8"/>
      <c r="F23" s="25"/>
    </row>
    <row r="24" spans="1:6" x14ac:dyDescent="0.3">
      <c r="A24" s="6" t="s">
        <v>133</v>
      </c>
      <c r="B24" s="6" t="s">
        <v>132</v>
      </c>
      <c r="C24" s="8">
        <v>23027.62</v>
      </c>
      <c r="D24" s="8"/>
      <c r="E24" s="8">
        <v>40000</v>
      </c>
      <c r="F24" s="25">
        <v>18000</v>
      </c>
    </row>
    <row r="25" spans="1:6" x14ac:dyDescent="0.3">
      <c r="A25" s="6" t="s">
        <v>169</v>
      </c>
      <c r="B25" s="6" t="s">
        <v>168</v>
      </c>
      <c r="C25" s="8"/>
      <c r="D25" s="8"/>
      <c r="E25" s="8">
        <v>46828</v>
      </c>
      <c r="F25" s="25"/>
    </row>
    <row r="26" spans="1:6" x14ac:dyDescent="0.3">
      <c r="A26" s="5"/>
      <c r="B26" s="5" t="s">
        <v>11</v>
      </c>
      <c r="C26" s="23">
        <v>156770</v>
      </c>
      <c r="D26" s="24">
        <f t="shared" ref="D26:E26" si="2">SUM(D27:D34)</f>
        <v>142185</v>
      </c>
      <c r="E26" s="24">
        <f t="shared" si="2"/>
        <v>210000</v>
      </c>
      <c r="F26" s="24">
        <f>SUM(F27:F34)</f>
        <v>160000</v>
      </c>
    </row>
    <row r="27" spans="1:6" x14ac:dyDescent="0.3">
      <c r="A27" s="6" t="s">
        <v>167</v>
      </c>
      <c r="B27" s="6" t="s">
        <v>166</v>
      </c>
      <c r="C27" s="8">
        <v>0</v>
      </c>
      <c r="D27" s="8"/>
      <c r="E27" s="8"/>
      <c r="F27" s="25"/>
    </row>
    <row r="28" spans="1:6" x14ac:dyDescent="0.3">
      <c r="A28" s="6" t="s">
        <v>131</v>
      </c>
      <c r="B28" s="6" t="s">
        <v>130</v>
      </c>
      <c r="C28" s="8">
        <v>0</v>
      </c>
      <c r="D28" s="8">
        <v>3710</v>
      </c>
      <c r="E28" s="8">
        <v>40000</v>
      </c>
      <c r="F28" s="25"/>
    </row>
    <row r="29" spans="1:6" x14ac:dyDescent="0.3">
      <c r="A29" s="6" t="s">
        <v>12</v>
      </c>
      <c r="B29" s="6" t="s">
        <v>13</v>
      </c>
      <c r="C29" s="8">
        <v>79000</v>
      </c>
      <c r="D29" s="8">
        <v>83275</v>
      </c>
      <c r="E29" s="8">
        <v>105000</v>
      </c>
      <c r="F29" s="25">
        <v>85000</v>
      </c>
    </row>
    <row r="30" spans="1:6" x14ac:dyDescent="0.3">
      <c r="A30" s="6" t="s">
        <v>165</v>
      </c>
      <c r="B30" s="6" t="s">
        <v>164</v>
      </c>
      <c r="C30" s="8">
        <v>45000</v>
      </c>
      <c r="D30" s="8"/>
      <c r="E30" s="8"/>
      <c r="F30" s="25"/>
    </row>
    <row r="31" spans="1:6" x14ac:dyDescent="0.3">
      <c r="A31" s="6" t="s">
        <v>36</v>
      </c>
      <c r="B31" s="6" t="s">
        <v>41</v>
      </c>
      <c r="C31" s="8">
        <v>21500</v>
      </c>
      <c r="D31" s="8">
        <v>37000</v>
      </c>
      <c r="E31" s="8">
        <v>65000</v>
      </c>
      <c r="F31" s="25">
        <v>60000</v>
      </c>
    </row>
    <row r="32" spans="1:6" x14ac:dyDescent="0.3">
      <c r="A32" s="6" t="s">
        <v>163</v>
      </c>
      <c r="B32" s="6" t="s">
        <v>162</v>
      </c>
      <c r="C32" s="8">
        <v>0</v>
      </c>
      <c r="D32" s="8"/>
      <c r="E32" s="8"/>
      <c r="F32" s="25"/>
    </row>
    <row r="33" spans="1:6" x14ac:dyDescent="0.3">
      <c r="A33" s="6" t="s">
        <v>123</v>
      </c>
      <c r="B33" s="6" t="s">
        <v>122</v>
      </c>
      <c r="C33" s="8">
        <v>11270</v>
      </c>
      <c r="D33" s="8"/>
      <c r="E33" s="8"/>
      <c r="F33" s="25">
        <v>15000</v>
      </c>
    </row>
    <row r="34" spans="1:6" x14ac:dyDescent="0.3">
      <c r="A34" s="6" t="s">
        <v>121</v>
      </c>
      <c r="B34" s="6" t="s">
        <v>120</v>
      </c>
      <c r="C34" s="8"/>
      <c r="D34" s="8">
        <v>18200</v>
      </c>
      <c r="E34" s="8"/>
      <c r="F34" s="25"/>
    </row>
    <row r="35" spans="1:6" x14ac:dyDescent="0.3">
      <c r="A35" s="5"/>
      <c r="B35" s="5" t="s">
        <v>14</v>
      </c>
      <c r="C35" s="23">
        <v>175929.54</v>
      </c>
      <c r="D35" s="24">
        <f t="shared" ref="D35:E35" si="3">SUM(D36:D63)</f>
        <v>270855.11000000004</v>
      </c>
      <c r="E35" s="24">
        <f t="shared" si="3"/>
        <v>132672</v>
      </c>
      <c r="F35" s="24">
        <f>SUM(F36:F63)</f>
        <v>105000</v>
      </c>
    </row>
    <row r="36" spans="1:6" x14ac:dyDescent="0.3">
      <c r="A36" s="6" t="s">
        <v>172</v>
      </c>
      <c r="B36" s="6" t="s">
        <v>173</v>
      </c>
      <c r="C36" s="8"/>
      <c r="D36" s="8">
        <v>12000</v>
      </c>
      <c r="E36" s="8"/>
      <c r="F36" s="25"/>
    </row>
    <row r="37" spans="1:6" x14ac:dyDescent="0.3">
      <c r="A37" s="6" t="s">
        <v>86</v>
      </c>
      <c r="B37" s="6" t="s">
        <v>85</v>
      </c>
      <c r="C37" s="8">
        <v>10069</v>
      </c>
      <c r="D37" s="8"/>
      <c r="E37" s="8"/>
      <c r="F37" s="25">
        <v>3000</v>
      </c>
    </row>
    <row r="38" spans="1:6" x14ac:dyDescent="0.3">
      <c r="A38" s="6" t="s">
        <v>73</v>
      </c>
      <c r="B38" s="6" t="s">
        <v>72</v>
      </c>
      <c r="C38" s="8"/>
      <c r="D38" s="8"/>
      <c r="E38" s="8">
        <v>1000</v>
      </c>
      <c r="F38" s="25"/>
    </row>
    <row r="39" spans="1:6" x14ac:dyDescent="0.3">
      <c r="A39" s="6" t="s">
        <v>71</v>
      </c>
      <c r="B39" s="6" t="s">
        <v>70</v>
      </c>
      <c r="C39" s="8"/>
      <c r="D39" s="8">
        <v>7788</v>
      </c>
      <c r="E39" s="8"/>
      <c r="F39" s="25">
        <v>4000</v>
      </c>
    </row>
    <row r="40" spans="1:6" x14ac:dyDescent="0.3">
      <c r="A40" s="6" t="s">
        <v>15</v>
      </c>
      <c r="B40" s="6" t="s">
        <v>16</v>
      </c>
      <c r="C40" s="8">
        <v>7398.3</v>
      </c>
      <c r="D40" s="8">
        <v>182430.75</v>
      </c>
      <c r="E40" s="8">
        <v>3172</v>
      </c>
      <c r="F40" s="25">
        <v>20000</v>
      </c>
    </row>
    <row r="41" spans="1:6" x14ac:dyDescent="0.3">
      <c r="A41" s="6" t="s">
        <v>174</v>
      </c>
      <c r="B41" s="6" t="s">
        <v>175</v>
      </c>
      <c r="C41" s="8"/>
      <c r="D41" s="8">
        <v>12780</v>
      </c>
      <c r="E41" s="8"/>
      <c r="F41" s="25">
        <v>2000</v>
      </c>
    </row>
    <row r="42" spans="1:6" x14ac:dyDescent="0.3">
      <c r="A42" s="6" t="s">
        <v>54</v>
      </c>
      <c r="B42" s="6" t="s">
        <v>53</v>
      </c>
      <c r="C42" s="8"/>
      <c r="D42" s="8"/>
      <c r="E42" s="8">
        <v>2000</v>
      </c>
      <c r="F42" s="25"/>
    </row>
    <row r="43" spans="1:6" x14ac:dyDescent="0.3">
      <c r="A43" s="6" t="s">
        <v>81</v>
      </c>
      <c r="B43" s="6" t="s">
        <v>112</v>
      </c>
      <c r="C43" s="8">
        <v>3501</v>
      </c>
      <c r="D43" s="8">
        <v>7839</v>
      </c>
      <c r="E43" s="8"/>
      <c r="F43" s="25">
        <v>4500</v>
      </c>
    </row>
    <row r="44" spans="1:6" x14ac:dyDescent="0.3">
      <c r="A44" s="6" t="s">
        <v>37</v>
      </c>
      <c r="B44" s="6" t="s">
        <v>40</v>
      </c>
      <c r="C44" s="8">
        <v>268</v>
      </c>
      <c r="D44" s="8">
        <v>2000</v>
      </c>
      <c r="E44" s="8">
        <v>11400</v>
      </c>
      <c r="F44" s="25">
        <v>2000</v>
      </c>
    </row>
    <row r="45" spans="1:6" x14ac:dyDescent="0.3">
      <c r="A45" s="6" t="s">
        <v>69</v>
      </c>
      <c r="B45" s="6" t="s">
        <v>68</v>
      </c>
      <c r="C45" s="8">
        <v>1435</v>
      </c>
      <c r="D45" s="8">
        <v>640</v>
      </c>
      <c r="E45" s="8">
        <v>6500</v>
      </c>
      <c r="F45" s="25">
        <v>1000</v>
      </c>
    </row>
    <row r="46" spans="1:6" x14ac:dyDescent="0.3">
      <c r="A46" s="6" t="s">
        <v>176</v>
      </c>
      <c r="B46" s="6" t="s">
        <v>177</v>
      </c>
      <c r="C46" s="8"/>
      <c r="D46" s="8">
        <v>1275</v>
      </c>
      <c r="E46" s="8"/>
      <c r="F46" s="25"/>
    </row>
    <row r="47" spans="1:6" x14ac:dyDescent="0.3">
      <c r="A47" s="6" t="s">
        <v>161</v>
      </c>
      <c r="B47" s="6" t="s">
        <v>160</v>
      </c>
      <c r="C47" s="8"/>
      <c r="D47" s="8"/>
      <c r="E47" s="8">
        <v>7900</v>
      </c>
      <c r="F47" s="25"/>
    </row>
    <row r="48" spans="1:6" x14ac:dyDescent="0.3">
      <c r="A48" s="6" t="s">
        <v>17</v>
      </c>
      <c r="B48" s="6" t="s">
        <v>18</v>
      </c>
      <c r="C48" s="8">
        <v>2466.5</v>
      </c>
      <c r="D48" s="8">
        <v>2468.6999999999998</v>
      </c>
      <c r="E48" s="8">
        <v>15000</v>
      </c>
      <c r="F48" s="25">
        <v>2000</v>
      </c>
    </row>
    <row r="49" spans="1:6" x14ac:dyDescent="0.3">
      <c r="A49" s="6" t="s">
        <v>109</v>
      </c>
      <c r="B49" s="6" t="s">
        <v>108</v>
      </c>
      <c r="C49" s="8">
        <v>3021.65</v>
      </c>
      <c r="D49" s="8"/>
      <c r="E49" s="8"/>
      <c r="F49" s="25">
        <v>4000</v>
      </c>
    </row>
    <row r="50" spans="1:6" x14ac:dyDescent="0.3">
      <c r="A50" s="6" t="s">
        <v>84</v>
      </c>
      <c r="B50" s="6" t="s">
        <v>83</v>
      </c>
      <c r="C50" s="8">
        <v>1128</v>
      </c>
      <c r="D50" s="8"/>
      <c r="E50" s="8"/>
      <c r="F50" s="25"/>
    </row>
    <row r="51" spans="1:6" x14ac:dyDescent="0.3">
      <c r="A51" s="6" t="s">
        <v>178</v>
      </c>
      <c r="B51" s="6" t="s">
        <v>179</v>
      </c>
      <c r="C51" s="8"/>
      <c r="D51" s="8">
        <v>3960</v>
      </c>
      <c r="E51" s="8"/>
      <c r="F51" s="25"/>
    </row>
    <row r="52" spans="1:6" x14ac:dyDescent="0.3">
      <c r="A52" s="6" t="s">
        <v>52</v>
      </c>
      <c r="B52" s="6" t="s">
        <v>51</v>
      </c>
      <c r="C52" s="8">
        <v>0</v>
      </c>
      <c r="D52" s="8">
        <v>278.3</v>
      </c>
      <c r="E52" s="8"/>
      <c r="F52" s="25"/>
    </row>
    <row r="53" spans="1:6" x14ac:dyDescent="0.3">
      <c r="A53" s="6" t="s">
        <v>107</v>
      </c>
      <c r="B53" s="6" t="s">
        <v>106</v>
      </c>
      <c r="C53" s="8">
        <v>789.1</v>
      </c>
      <c r="D53" s="8"/>
      <c r="E53" s="8"/>
      <c r="F53" s="25"/>
    </row>
    <row r="54" spans="1:6" x14ac:dyDescent="0.3">
      <c r="A54" s="6" t="s">
        <v>19</v>
      </c>
      <c r="B54" s="6" t="s">
        <v>20</v>
      </c>
      <c r="C54" s="8">
        <v>1421</v>
      </c>
      <c r="D54" s="8">
        <v>682.15</v>
      </c>
      <c r="E54" s="8"/>
      <c r="F54" s="25">
        <v>1500</v>
      </c>
    </row>
    <row r="55" spans="1:6" x14ac:dyDescent="0.3">
      <c r="A55" s="6" t="s">
        <v>49</v>
      </c>
      <c r="B55" s="6" t="s">
        <v>48</v>
      </c>
      <c r="C55" s="8">
        <v>3500</v>
      </c>
      <c r="D55" s="8">
        <v>3500</v>
      </c>
      <c r="E55" s="8">
        <v>2000</v>
      </c>
      <c r="F55" s="25"/>
    </row>
    <row r="56" spans="1:6" x14ac:dyDescent="0.3">
      <c r="A56" s="6" t="s">
        <v>47</v>
      </c>
      <c r="B56" s="6" t="s">
        <v>46</v>
      </c>
      <c r="C56" s="8">
        <v>67188</v>
      </c>
      <c r="D56" s="8">
        <v>14276</v>
      </c>
      <c r="E56" s="8">
        <v>60000</v>
      </c>
      <c r="F56" s="25">
        <v>50000</v>
      </c>
    </row>
    <row r="57" spans="1:6" x14ac:dyDescent="0.3">
      <c r="A57" s="6" t="s">
        <v>38</v>
      </c>
      <c r="B57" s="6" t="s">
        <v>66</v>
      </c>
      <c r="C57" s="8">
        <v>46828</v>
      </c>
      <c r="D57" s="8"/>
      <c r="E57" s="8"/>
      <c r="F57" s="25"/>
    </row>
    <row r="58" spans="1:6" x14ac:dyDescent="0.3">
      <c r="A58" s="6" t="s">
        <v>21</v>
      </c>
      <c r="B58" s="6" t="s">
        <v>22</v>
      </c>
      <c r="C58" s="8">
        <v>310</v>
      </c>
      <c r="D58" s="8"/>
      <c r="E58" s="8"/>
      <c r="F58" s="25">
        <v>2500</v>
      </c>
    </row>
    <row r="59" spans="1:6" x14ac:dyDescent="0.3">
      <c r="A59" s="6" t="s">
        <v>103</v>
      </c>
      <c r="B59" s="6" t="s">
        <v>102</v>
      </c>
      <c r="C59" s="8">
        <v>2060</v>
      </c>
      <c r="D59" s="8"/>
      <c r="E59" s="8">
        <v>4500</v>
      </c>
      <c r="F59" s="25">
        <v>3000</v>
      </c>
    </row>
    <row r="60" spans="1:6" x14ac:dyDescent="0.3">
      <c r="A60" s="6" t="s">
        <v>159</v>
      </c>
      <c r="B60" s="6" t="s">
        <v>158</v>
      </c>
      <c r="C60" s="8">
        <v>4800</v>
      </c>
      <c r="D60" s="8">
        <v>18160</v>
      </c>
      <c r="E60" s="8">
        <v>19200</v>
      </c>
      <c r="F60" s="25">
        <v>5000</v>
      </c>
    </row>
    <row r="61" spans="1:6" x14ac:dyDescent="0.3">
      <c r="A61" s="6" t="s">
        <v>45</v>
      </c>
      <c r="B61" s="6" t="s">
        <v>44</v>
      </c>
      <c r="C61" s="8">
        <v>1200.24</v>
      </c>
      <c r="D61" s="8">
        <v>537.21</v>
      </c>
      <c r="E61" s="8"/>
      <c r="F61" s="25">
        <v>500</v>
      </c>
    </row>
    <row r="62" spans="1:6" x14ac:dyDescent="0.3">
      <c r="A62" s="6" t="s">
        <v>97</v>
      </c>
      <c r="B62" s="6" t="s">
        <v>96</v>
      </c>
      <c r="C62" s="8">
        <v>15750</v>
      </c>
      <c r="D62" s="8"/>
      <c r="E62" s="8"/>
      <c r="F62" s="25"/>
    </row>
    <row r="63" spans="1:6" x14ac:dyDescent="0.3">
      <c r="A63" s="6" t="s">
        <v>43</v>
      </c>
      <c r="B63" s="6" t="s">
        <v>95</v>
      </c>
      <c r="C63" s="8">
        <v>2795.75</v>
      </c>
      <c r="D63" s="8">
        <v>240</v>
      </c>
      <c r="E63" s="8"/>
      <c r="F63" s="25"/>
    </row>
    <row r="64" spans="1:6" x14ac:dyDescent="0.3">
      <c r="A64" s="7"/>
      <c r="B64" s="7" t="s">
        <v>23</v>
      </c>
      <c r="C64" s="9">
        <v>357319.16</v>
      </c>
      <c r="D64" s="9">
        <f>D35+D26+D22</f>
        <v>422709.36000000004</v>
      </c>
      <c r="E64" s="9">
        <v>429500</v>
      </c>
      <c r="F64" s="26">
        <f>F35+F26+F22</f>
        <v>283000</v>
      </c>
    </row>
    <row r="65" spans="1:6" x14ac:dyDescent="0.3">
      <c r="A65" s="7"/>
      <c r="B65" s="7" t="s">
        <v>24</v>
      </c>
      <c r="C65" s="9">
        <f>C21-C64</f>
        <v>-53776.460000000021</v>
      </c>
      <c r="D65" s="9">
        <f>D21-D64</f>
        <v>-151616.87000000005</v>
      </c>
      <c r="E65" s="9">
        <v>-18500</v>
      </c>
      <c r="F65" s="27">
        <f>F21-F64</f>
        <v>15000</v>
      </c>
    </row>
    <row r="66" spans="1:6" x14ac:dyDescent="0.3">
      <c r="C66" s="28"/>
      <c r="D66" s="28"/>
      <c r="E66" s="28"/>
      <c r="F66" s="28"/>
    </row>
    <row r="67" spans="1:6" x14ac:dyDescent="0.3">
      <c r="C67" s="28"/>
      <c r="D67" s="28"/>
      <c r="E67" s="28"/>
      <c r="F67" s="28"/>
    </row>
    <row r="68" spans="1:6" x14ac:dyDescent="0.3">
      <c r="C68" s="28"/>
      <c r="D68" s="28"/>
      <c r="E68" s="28"/>
      <c r="F68" s="28"/>
    </row>
    <row r="69" spans="1:6" x14ac:dyDescent="0.3">
      <c r="C69" s="28"/>
      <c r="D69" s="28"/>
      <c r="E69" s="28"/>
      <c r="F69" s="28"/>
    </row>
    <row r="70" spans="1:6" x14ac:dyDescent="0.3">
      <c r="C70" s="28"/>
      <c r="D70" s="28"/>
      <c r="E70" s="28"/>
      <c r="F70" s="28"/>
    </row>
  </sheetData>
  <sheetProtection algorithmName="SHA-512" hashValue="8mvc8maBDSmwzlFgtYZ3M4yg9dfyfIBfllfclQjDBNXYGhmnU7beziQvUp/i4JnnB5XwHvRUPlcJ5FiTzPzXDA==" saltValue="HzgjhR9RFXKSHvC5UdvesA==" spinCount="100000" sheet="1" objects="1" scenarios="1"/>
  <mergeCells count="2">
    <mergeCell ref="E4:F4"/>
    <mergeCell ref="C4:D4"/>
  </mergeCells>
  <pageMargins left="0.75" right="0.75" top="0.75" bottom="0.5" header="0.5" footer="0.7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F5FA-3556-43D5-B667-C4EA5F660C46}">
  <dimension ref="A1:I74"/>
  <sheetViews>
    <sheetView zoomScaleNormal="100" workbookViewId="0">
      <pane ySplit="5" topLeftCell="A6" activePane="bottomLeft" state="frozenSplit"/>
      <selection pane="bottomLeft" activeCell="E1" sqref="E1"/>
    </sheetView>
  </sheetViews>
  <sheetFormatPr baseColWidth="10" defaultColWidth="8.88671875" defaultRowHeight="14.4" x14ac:dyDescent="0.3"/>
  <cols>
    <col min="1" max="1" width="9.44140625" customWidth="1"/>
    <col min="2" max="2" width="33.33203125" customWidth="1"/>
    <col min="3" max="3" width="13" customWidth="1"/>
    <col min="4" max="4" width="11.44140625" customWidth="1"/>
    <col min="5" max="5" width="11.33203125" bestFit="1" customWidth="1"/>
    <col min="6" max="6" width="10.21875" bestFit="1" customWidth="1"/>
    <col min="8" max="9" width="9.88671875" bestFit="1" customWidth="1"/>
  </cols>
  <sheetData>
    <row r="1" spans="1:9" ht="27" customHeight="1" x14ac:dyDescent="0.5">
      <c r="A1" s="2" t="s">
        <v>0</v>
      </c>
    </row>
    <row r="2" spans="1:9" ht="18" customHeight="1" x14ac:dyDescent="0.35">
      <c r="A2" s="3" t="s">
        <v>1</v>
      </c>
    </row>
    <row r="3" spans="1:9" ht="18" customHeight="1" x14ac:dyDescent="0.35">
      <c r="A3" s="1" t="s">
        <v>155</v>
      </c>
    </row>
    <row r="4" spans="1:9" x14ac:dyDescent="0.3">
      <c r="C4" s="72" t="s">
        <v>154</v>
      </c>
      <c r="D4" s="72"/>
      <c r="E4" s="72" t="s">
        <v>25</v>
      </c>
      <c r="F4" s="72"/>
    </row>
    <row r="5" spans="1:9" x14ac:dyDescent="0.3">
      <c r="A5" s="4" t="s">
        <v>3</v>
      </c>
      <c r="B5" s="4" t="s">
        <v>4</v>
      </c>
      <c r="C5" s="4" t="s">
        <v>5</v>
      </c>
      <c r="D5" s="4" t="s">
        <v>6</v>
      </c>
      <c r="E5" s="4">
        <v>2022</v>
      </c>
      <c r="F5" s="4">
        <v>2023</v>
      </c>
    </row>
    <row r="6" spans="1:9" x14ac:dyDescent="0.3">
      <c r="A6" s="5"/>
      <c r="B6" s="5" t="s">
        <v>64</v>
      </c>
      <c r="C6" s="23">
        <f>SUM(C7:C16)</f>
        <v>869755.15</v>
      </c>
      <c r="D6" s="23">
        <v>369513.42</v>
      </c>
      <c r="E6" s="20">
        <f>SUM(E7:E16)</f>
        <v>425000</v>
      </c>
      <c r="F6" s="20">
        <f>SUM(F7:F16)</f>
        <v>575000</v>
      </c>
      <c r="I6" s="36"/>
    </row>
    <row r="7" spans="1:9" x14ac:dyDescent="0.3">
      <c r="A7" s="6" t="s">
        <v>153</v>
      </c>
      <c r="B7" s="6" t="s">
        <v>152</v>
      </c>
      <c r="C7" s="8">
        <v>5300</v>
      </c>
      <c r="D7" s="8">
        <v>7930</v>
      </c>
      <c r="E7" s="57">
        <v>5000</v>
      </c>
      <c r="F7" s="13">
        <v>5000</v>
      </c>
      <c r="I7" s="36"/>
    </row>
    <row r="8" spans="1:9" x14ac:dyDescent="0.3">
      <c r="A8" s="6" t="s">
        <v>63</v>
      </c>
      <c r="B8" s="6" t="s">
        <v>151</v>
      </c>
      <c r="C8" s="8">
        <v>44765</v>
      </c>
      <c r="D8" s="8"/>
      <c r="E8" s="57">
        <v>50000</v>
      </c>
      <c r="F8" s="13">
        <v>50000</v>
      </c>
    </row>
    <row r="9" spans="1:9" x14ac:dyDescent="0.3">
      <c r="A9" s="6" t="s">
        <v>150</v>
      </c>
      <c r="B9" s="6" t="s">
        <v>149</v>
      </c>
      <c r="C9" s="8">
        <v>173062.5</v>
      </c>
      <c r="D9" s="8"/>
      <c r="E9" s="57">
        <v>60000</v>
      </c>
      <c r="F9" s="13"/>
    </row>
    <row r="10" spans="1:9" x14ac:dyDescent="0.3">
      <c r="A10" s="6" t="s">
        <v>148</v>
      </c>
      <c r="B10" s="6" t="s">
        <v>147</v>
      </c>
      <c r="C10" s="8">
        <v>20000</v>
      </c>
      <c r="D10" s="8"/>
      <c r="E10" s="57">
        <v>26000</v>
      </c>
      <c r="F10" s="13">
        <v>20000</v>
      </c>
    </row>
    <row r="11" spans="1:9" x14ac:dyDescent="0.3">
      <c r="A11" s="6" t="s">
        <v>146</v>
      </c>
      <c r="B11" s="6" t="s">
        <v>145</v>
      </c>
      <c r="C11" s="40">
        <v>50000</v>
      </c>
      <c r="D11" s="8">
        <v>50000</v>
      </c>
      <c r="E11" s="57">
        <v>50000</v>
      </c>
      <c r="F11" s="13">
        <v>50000</v>
      </c>
    </row>
    <row r="12" spans="1:9" x14ac:dyDescent="0.3">
      <c r="A12" s="6" t="s">
        <v>144</v>
      </c>
      <c r="B12" s="6" t="s">
        <v>143</v>
      </c>
      <c r="C12" s="8">
        <v>502.01</v>
      </c>
      <c r="D12" s="8"/>
      <c r="E12" s="57"/>
      <c r="F12" s="13"/>
    </row>
    <row r="13" spans="1:9" x14ac:dyDescent="0.3">
      <c r="A13" s="6" t="s">
        <v>26</v>
      </c>
      <c r="B13" s="6" t="s">
        <v>31</v>
      </c>
      <c r="C13" s="8">
        <v>282619.64</v>
      </c>
      <c r="D13" s="8">
        <v>311583.42</v>
      </c>
      <c r="E13" s="57"/>
      <c r="F13" s="30">
        <v>165000</v>
      </c>
    </row>
    <row r="14" spans="1:9" x14ac:dyDescent="0.3">
      <c r="A14" s="6" t="s">
        <v>27</v>
      </c>
      <c r="B14" s="6" t="s">
        <v>32</v>
      </c>
      <c r="C14" s="8">
        <v>49972</v>
      </c>
      <c r="D14" s="8"/>
      <c r="E14" s="57">
        <v>24000</v>
      </c>
      <c r="F14" s="13">
        <v>55000</v>
      </c>
    </row>
    <row r="15" spans="1:9" x14ac:dyDescent="0.3">
      <c r="A15" s="6" t="s">
        <v>61</v>
      </c>
      <c r="B15" s="6" t="s">
        <v>33</v>
      </c>
      <c r="C15" s="8">
        <v>94824</v>
      </c>
      <c r="D15" s="8"/>
      <c r="E15" s="57">
        <v>60000</v>
      </c>
      <c r="F15" s="13">
        <v>100000</v>
      </c>
    </row>
    <row r="16" spans="1:9" x14ac:dyDescent="0.3">
      <c r="A16" s="6" t="s">
        <v>60</v>
      </c>
      <c r="B16" s="6" t="s">
        <v>59</v>
      </c>
      <c r="C16" s="8">
        <v>148710</v>
      </c>
      <c r="D16" s="8"/>
      <c r="E16" s="57">
        <v>150000</v>
      </c>
      <c r="F16" s="13">
        <v>130000</v>
      </c>
    </row>
    <row r="17" spans="1:9" x14ac:dyDescent="0.3">
      <c r="A17" s="5"/>
      <c r="B17" s="5" t="s">
        <v>7</v>
      </c>
      <c r="C17" s="23">
        <f>SUM(C18:C26)</f>
        <v>342865.18</v>
      </c>
      <c r="D17" s="23">
        <v>592513.42000000004</v>
      </c>
      <c r="E17" s="58">
        <f>SUM(E21:E26)</f>
        <v>345000</v>
      </c>
      <c r="F17" s="18">
        <f>SUM(F18:F26)</f>
        <v>400000</v>
      </c>
      <c r="I17" s="36"/>
    </row>
    <row r="18" spans="1:9" x14ac:dyDescent="0.3">
      <c r="A18" s="6" t="s">
        <v>75</v>
      </c>
      <c r="B18" s="6" t="s">
        <v>74</v>
      </c>
      <c r="C18" s="8">
        <v>5975</v>
      </c>
      <c r="D18" s="8"/>
      <c r="E18" s="57"/>
      <c r="F18" s="13">
        <v>20000</v>
      </c>
    </row>
    <row r="19" spans="1:9" x14ac:dyDescent="0.3">
      <c r="A19" s="6" t="s">
        <v>212</v>
      </c>
      <c r="B19" s="6" t="s">
        <v>217</v>
      </c>
      <c r="C19" s="8">
        <v>41825</v>
      </c>
      <c r="D19" s="23"/>
      <c r="E19" s="58"/>
      <c r="F19" s="18"/>
      <c r="I19" s="36"/>
    </row>
    <row r="20" spans="1:9" x14ac:dyDescent="0.3">
      <c r="A20" s="5"/>
      <c r="B20" s="5"/>
      <c r="C20" s="23"/>
      <c r="D20" s="23"/>
      <c r="E20" s="58"/>
      <c r="F20" s="18"/>
      <c r="I20" s="36"/>
    </row>
    <row r="21" spans="1:9" x14ac:dyDescent="0.3">
      <c r="A21" s="6" t="s">
        <v>58</v>
      </c>
      <c r="B21" s="6" t="s">
        <v>57</v>
      </c>
      <c r="C21" s="8">
        <v>203300</v>
      </c>
      <c r="D21" s="8">
        <v>268425</v>
      </c>
      <c r="E21" s="57">
        <v>250000</v>
      </c>
      <c r="F21" s="13">
        <v>180000</v>
      </c>
    </row>
    <row r="22" spans="1:9" x14ac:dyDescent="0.3">
      <c r="A22" s="6" t="s">
        <v>142</v>
      </c>
      <c r="B22" s="6" t="s">
        <v>141</v>
      </c>
      <c r="C22" s="8">
        <v>8090</v>
      </c>
      <c r="D22" s="8"/>
      <c r="E22" s="57"/>
      <c r="F22" s="13"/>
    </row>
    <row r="23" spans="1:9" x14ac:dyDescent="0.3">
      <c r="A23" s="6" t="s">
        <v>29</v>
      </c>
      <c r="B23" s="6" t="s">
        <v>56</v>
      </c>
      <c r="C23" s="8">
        <v>42231</v>
      </c>
      <c r="D23" s="8">
        <v>134544.4</v>
      </c>
      <c r="E23" s="57">
        <v>30000</v>
      </c>
      <c r="F23" s="13">
        <v>30000</v>
      </c>
    </row>
    <row r="24" spans="1:9" x14ac:dyDescent="0.3">
      <c r="A24" s="6" t="s">
        <v>30</v>
      </c>
      <c r="B24" s="6" t="s">
        <v>55</v>
      </c>
      <c r="C24" s="8">
        <v>62994.18</v>
      </c>
      <c r="D24" s="8">
        <v>55327.02</v>
      </c>
      <c r="E24" s="57">
        <v>45000</v>
      </c>
      <c r="F24" s="13">
        <v>60000</v>
      </c>
    </row>
    <row r="25" spans="1:9" x14ac:dyDescent="0.3">
      <c r="A25" s="6" t="s">
        <v>8</v>
      </c>
      <c r="B25" s="6" t="s">
        <v>9</v>
      </c>
      <c r="C25" s="8">
        <v>-23900</v>
      </c>
      <c r="D25" s="8">
        <v>134217</v>
      </c>
      <c r="E25" s="57">
        <v>20000</v>
      </c>
      <c r="F25" s="30">
        <v>110000</v>
      </c>
    </row>
    <row r="26" spans="1:9" x14ac:dyDescent="0.3">
      <c r="A26" s="6" t="s">
        <v>140</v>
      </c>
      <c r="B26" s="6" t="s">
        <v>210</v>
      </c>
      <c r="C26" s="8">
        <v>2350</v>
      </c>
      <c r="D26" s="8"/>
      <c r="E26" s="57"/>
      <c r="F26" s="30"/>
    </row>
    <row r="27" spans="1:9" x14ac:dyDescent="0.3">
      <c r="A27" s="7"/>
      <c r="B27" s="7" t="s">
        <v>10</v>
      </c>
      <c r="C27" s="9">
        <f>C17+C6</f>
        <v>1212620.33</v>
      </c>
      <c r="D27" s="9">
        <v>962026.84</v>
      </c>
      <c r="E27" s="59">
        <f>E17+E6</f>
        <v>770000</v>
      </c>
      <c r="F27" s="16">
        <f>F17+F6</f>
        <v>975000</v>
      </c>
    </row>
    <row r="28" spans="1:9" x14ac:dyDescent="0.3">
      <c r="A28" s="5"/>
      <c r="B28" s="5" t="s">
        <v>136</v>
      </c>
      <c r="C28" s="23">
        <v>40891.86</v>
      </c>
      <c r="D28" s="23">
        <v>19552.77</v>
      </c>
      <c r="E28" s="58">
        <f>SUM(E29:E31)</f>
        <v>110000</v>
      </c>
      <c r="F28" s="18">
        <f>SUM(F29:F31)</f>
        <v>33000</v>
      </c>
      <c r="H28" s="36"/>
    </row>
    <row r="29" spans="1:9" x14ac:dyDescent="0.3">
      <c r="A29" s="6" t="s">
        <v>135</v>
      </c>
      <c r="B29" s="6" t="s">
        <v>134</v>
      </c>
      <c r="C29" s="8">
        <v>632.79999999999995</v>
      </c>
      <c r="D29" s="8">
        <v>19552.77</v>
      </c>
      <c r="E29" s="57">
        <v>10000</v>
      </c>
      <c r="F29" s="13">
        <v>8000</v>
      </c>
    </row>
    <row r="30" spans="1:9" x14ac:dyDescent="0.3">
      <c r="A30" s="6" t="s">
        <v>133</v>
      </c>
      <c r="B30" s="6" t="s">
        <v>132</v>
      </c>
      <c r="C30" s="8">
        <v>40259.06</v>
      </c>
      <c r="D30" s="8"/>
      <c r="E30" s="57">
        <v>40000</v>
      </c>
      <c r="F30" s="13">
        <v>25000</v>
      </c>
    </row>
    <row r="31" spans="1:9" x14ac:dyDescent="0.3">
      <c r="A31" s="6" t="s">
        <v>156</v>
      </c>
      <c r="B31" s="6" t="s">
        <v>149</v>
      </c>
      <c r="C31" s="8"/>
      <c r="D31" s="8"/>
      <c r="E31" s="57">
        <v>60000</v>
      </c>
      <c r="F31" s="13"/>
    </row>
    <row r="32" spans="1:9" x14ac:dyDescent="0.3">
      <c r="A32" s="5"/>
      <c r="B32" s="5" t="s">
        <v>11</v>
      </c>
      <c r="C32" s="23">
        <v>388787.5</v>
      </c>
      <c r="D32" s="23">
        <v>309700.09000000003</v>
      </c>
      <c r="E32" s="58">
        <f>SUM(E33:E40)</f>
        <v>220000</v>
      </c>
      <c r="F32" s="18">
        <f>SUM(F33:F40)</f>
        <v>315000</v>
      </c>
      <c r="H32" s="36"/>
    </row>
    <row r="33" spans="1:8" x14ac:dyDescent="0.3">
      <c r="A33" s="6" t="s">
        <v>131</v>
      </c>
      <c r="B33" s="6" t="s">
        <v>130</v>
      </c>
      <c r="C33" s="8">
        <v>0</v>
      </c>
      <c r="D33" s="8">
        <v>17065</v>
      </c>
      <c r="E33" s="57">
        <v>50000</v>
      </c>
      <c r="F33" s="13"/>
    </row>
    <row r="34" spans="1:8" x14ac:dyDescent="0.3">
      <c r="A34" s="6" t="s">
        <v>12</v>
      </c>
      <c r="B34" s="6" t="s">
        <v>13</v>
      </c>
      <c r="C34" s="8">
        <v>341337.5</v>
      </c>
      <c r="D34" s="8">
        <v>292447</v>
      </c>
      <c r="E34" s="57">
        <v>147000</v>
      </c>
      <c r="F34" s="13">
        <v>250000</v>
      </c>
    </row>
    <row r="35" spans="1:8" x14ac:dyDescent="0.3">
      <c r="A35" s="6" t="s">
        <v>36</v>
      </c>
      <c r="B35" s="6" t="s">
        <v>41</v>
      </c>
      <c r="C35" s="8">
        <v>27500</v>
      </c>
      <c r="D35" s="8"/>
      <c r="E35" s="57">
        <v>23000</v>
      </c>
      <c r="F35" s="30">
        <v>35000</v>
      </c>
    </row>
    <row r="36" spans="1:8" x14ac:dyDescent="0.3">
      <c r="A36" s="6" t="s">
        <v>129</v>
      </c>
      <c r="B36" s="6" t="s">
        <v>128</v>
      </c>
      <c r="C36" s="8"/>
      <c r="D36" s="8">
        <v>188.09</v>
      </c>
      <c r="E36" s="57"/>
      <c r="F36" s="13"/>
    </row>
    <row r="37" spans="1:8" x14ac:dyDescent="0.3">
      <c r="A37" s="6" t="s">
        <v>127</v>
      </c>
      <c r="B37" s="6" t="s">
        <v>126</v>
      </c>
      <c r="C37" s="8">
        <v>1400</v>
      </c>
      <c r="D37" s="8"/>
      <c r="E37" s="57"/>
      <c r="F37" s="13">
        <v>2000</v>
      </c>
    </row>
    <row r="38" spans="1:8" x14ac:dyDescent="0.3">
      <c r="A38" s="6" t="s">
        <v>125</v>
      </c>
      <c r="B38" s="6" t="s">
        <v>124</v>
      </c>
      <c r="C38" s="8">
        <v>0</v>
      </c>
      <c r="D38" s="8"/>
      <c r="E38" s="57"/>
      <c r="F38" s="13">
        <v>2000</v>
      </c>
    </row>
    <row r="39" spans="1:8" x14ac:dyDescent="0.3">
      <c r="A39" s="6" t="s">
        <v>123</v>
      </c>
      <c r="B39" s="6" t="s">
        <v>122</v>
      </c>
      <c r="C39" s="8">
        <v>18550</v>
      </c>
      <c r="D39" s="8"/>
      <c r="E39" s="57"/>
      <c r="F39" s="13">
        <v>25000</v>
      </c>
    </row>
    <row r="40" spans="1:8" x14ac:dyDescent="0.3">
      <c r="A40" s="6" t="s">
        <v>121</v>
      </c>
      <c r="B40" s="6" t="s">
        <v>120</v>
      </c>
      <c r="C40" s="8">
        <v>0</v>
      </c>
      <c r="D40" s="8"/>
      <c r="E40" s="57"/>
      <c r="F40" s="13">
        <v>1000</v>
      </c>
    </row>
    <row r="41" spans="1:8" x14ac:dyDescent="0.3">
      <c r="A41" s="5"/>
      <c r="B41" s="5" t="s">
        <v>14</v>
      </c>
      <c r="C41" s="23">
        <f>SUM(C42:C71)-1</f>
        <v>424635.82</v>
      </c>
      <c r="D41" s="23">
        <v>480751.35999999999</v>
      </c>
      <c r="E41" s="58">
        <f>SUM(E42:E71)</f>
        <v>409000</v>
      </c>
      <c r="F41" s="18">
        <f>SUM(F42:F71)</f>
        <v>754000</v>
      </c>
      <c r="H41" s="36"/>
    </row>
    <row r="42" spans="1:8" x14ac:dyDescent="0.3">
      <c r="A42" s="6" t="s">
        <v>86</v>
      </c>
      <c r="B42" s="6" t="s">
        <v>85</v>
      </c>
      <c r="C42" s="8">
        <v>7269</v>
      </c>
      <c r="D42" s="8"/>
      <c r="E42" s="57">
        <v>10000</v>
      </c>
      <c r="F42" s="13">
        <v>10000</v>
      </c>
    </row>
    <row r="43" spans="1:8" x14ac:dyDescent="0.3">
      <c r="A43" s="6" t="s">
        <v>119</v>
      </c>
      <c r="B43" s="6" t="s">
        <v>118</v>
      </c>
      <c r="C43" s="8">
        <v>2657</v>
      </c>
      <c r="D43" s="8"/>
      <c r="E43" s="57">
        <v>60000</v>
      </c>
      <c r="F43" s="13">
        <v>115000</v>
      </c>
    </row>
    <row r="44" spans="1:8" x14ac:dyDescent="0.3">
      <c r="A44" s="6" t="s">
        <v>73</v>
      </c>
      <c r="B44" s="6" t="s">
        <v>72</v>
      </c>
      <c r="C44" s="8"/>
      <c r="D44" s="8">
        <v>285</v>
      </c>
      <c r="E44" s="57"/>
      <c r="F44" s="13"/>
    </row>
    <row r="45" spans="1:8" x14ac:dyDescent="0.3">
      <c r="A45" s="6" t="s">
        <v>117</v>
      </c>
      <c r="B45" s="6" t="s">
        <v>116</v>
      </c>
      <c r="C45" s="8">
        <v>10000</v>
      </c>
      <c r="D45" s="8"/>
      <c r="E45" s="57"/>
      <c r="F45" s="13">
        <v>20000</v>
      </c>
    </row>
    <row r="46" spans="1:8" x14ac:dyDescent="0.3">
      <c r="A46" s="6" t="s">
        <v>77</v>
      </c>
      <c r="B46" s="6" t="s">
        <v>78</v>
      </c>
      <c r="C46" s="8">
        <v>549</v>
      </c>
      <c r="D46" s="8">
        <v>1222</v>
      </c>
      <c r="E46" s="57"/>
      <c r="F46" s="13">
        <v>2000</v>
      </c>
    </row>
    <row r="47" spans="1:8" x14ac:dyDescent="0.3">
      <c r="A47" s="6" t="s">
        <v>71</v>
      </c>
      <c r="B47" s="6" t="s">
        <v>70</v>
      </c>
      <c r="C47" s="8">
        <v>8878</v>
      </c>
      <c r="D47" s="8">
        <v>4444</v>
      </c>
      <c r="E47" s="57">
        <v>30000</v>
      </c>
      <c r="F47" s="13">
        <v>5000</v>
      </c>
    </row>
    <row r="48" spans="1:8" x14ac:dyDescent="0.3">
      <c r="A48" s="6" t="s">
        <v>15</v>
      </c>
      <c r="B48" s="6" t="s">
        <v>16</v>
      </c>
      <c r="C48" s="8">
        <v>166783.5</v>
      </c>
      <c r="D48" s="8">
        <v>235316.02</v>
      </c>
      <c r="E48" s="57">
        <v>110000</v>
      </c>
      <c r="F48" s="13">
        <v>150000</v>
      </c>
    </row>
    <row r="49" spans="1:6" x14ac:dyDescent="0.3">
      <c r="A49" s="6" t="s">
        <v>79</v>
      </c>
      <c r="B49" s="6" t="s">
        <v>115</v>
      </c>
      <c r="C49" s="8"/>
      <c r="D49" s="8">
        <v>43966</v>
      </c>
      <c r="E49" s="57"/>
      <c r="F49" s="13"/>
    </row>
    <row r="50" spans="1:6" x14ac:dyDescent="0.3">
      <c r="A50" s="6" t="s">
        <v>114</v>
      </c>
      <c r="B50" s="6" t="s">
        <v>113</v>
      </c>
      <c r="C50" s="8">
        <v>2437.5</v>
      </c>
      <c r="D50" s="8"/>
      <c r="E50" s="57"/>
      <c r="F50" s="30">
        <v>5000</v>
      </c>
    </row>
    <row r="51" spans="1:6" x14ac:dyDescent="0.3">
      <c r="A51" s="6" t="s">
        <v>81</v>
      </c>
      <c r="B51" s="6" t="s">
        <v>112</v>
      </c>
      <c r="C51" s="8">
        <v>314.3</v>
      </c>
      <c r="D51" s="8"/>
      <c r="E51" s="57"/>
      <c r="F51" s="13">
        <v>1000</v>
      </c>
    </row>
    <row r="52" spans="1:6" x14ac:dyDescent="0.3">
      <c r="A52" s="6" t="s">
        <v>37</v>
      </c>
      <c r="B52" s="6" t="s">
        <v>40</v>
      </c>
      <c r="C52" s="8">
        <v>7058</v>
      </c>
      <c r="D52" s="8">
        <v>24050</v>
      </c>
      <c r="E52" s="57"/>
      <c r="F52" s="13">
        <v>15000</v>
      </c>
    </row>
    <row r="53" spans="1:6" x14ac:dyDescent="0.3">
      <c r="A53" s="6" t="s">
        <v>69</v>
      </c>
      <c r="B53" s="6" t="s">
        <v>68</v>
      </c>
      <c r="C53" s="8">
        <v>165</v>
      </c>
      <c r="D53" s="8">
        <v>3808</v>
      </c>
      <c r="E53" s="57"/>
      <c r="F53" s="13">
        <v>1000</v>
      </c>
    </row>
    <row r="54" spans="1:6" x14ac:dyDescent="0.3">
      <c r="A54" s="6" t="s">
        <v>111</v>
      </c>
      <c r="B54" s="6" t="s">
        <v>110</v>
      </c>
      <c r="C54" s="8">
        <v>0</v>
      </c>
      <c r="D54" s="8"/>
      <c r="E54" s="57"/>
      <c r="F54" s="13"/>
    </row>
    <row r="55" spans="1:6" x14ac:dyDescent="0.3">
      <c r="A55" s="6" t="s">
        <v>17</v>
      </c>
      <c r="B55" s="6" t="s">
        <v>18</v>
      </c>
      <c r="C55" s="8">
        <v>15946.2</v>
      </c>
      <c r="D55" s="8">
        <v>17139.52</v>
      </c>
      <c r="E55" s="57">
        <v>20000</v>
      </c>
      <c r="F55" s="13">
        <v>30000</v>
      </c>
    </row>
    <row r="56" spans="1:6" x14ac:dyDescent="0.3">
      <c r="A56" s="6" t="s">
        <v>109</v>
      </c>
      <c r="B56" s="6" t="s">
        <v>108</v>
      </c>
      <c r="C56" s="8">
        <v>2994.69</v>
      </c>
      <c r="D56" s="8"/>
      <c r="E56" s="57"/>
      <c r="F56" s="13">
        <v>5000</v>
      </c>
    </row>
    <row r="57" spans="1:6" x14ac:dyDescent="0.3">
      <c r="A57" s="6" t="s">
        <v>84</v>
      </c>
      <c r="B57" s="6" t="s">
        <v>83</v>
      </c>
      <c r="C57" s="8">
        <v>250.4</v>
      </c>
      <c r="D57" s="8">
        <v>32</v>
      </c>
      <c r="E57" s="57"/>
      <c r="F57" s="13">
        <v>1000</v>
      </c>
    </row>
    <row r="58" spans="1:6" x14ac:dyDescent="0.3">
      <c r="A58" s="6" t="s">
        <v>52</v>
      </c>
      <c r="B58" s="6" t="s">
        <v>51</v>
      </c>
      <c r="C58" s="8">
        <v>0</v>
      </c>
      <c r="D58" s="8">
        <v>811.4</v>
      </c>
      <c r="E58" s="57"/>
      <c r="F58" s="13">
        <v>2000</v>
      </c>
    </row>
    <row r="59" spans="1:6" x14ac:dyDescent="0.3">
      <c r="A59" s="6" t="s">
        <v>107</v>
      </c>
      <c r="B59" s="6" t="s">
        <v>106</v>
      </c>
      <c r="C59" s="8">
        <v>1725.4</v>
      </c>
      <c r="D59" s="8"/>
      <c r="E59" s="57"/>
      <c r="F59" s="13"/>
    </row>
    <row r="60" spans="1:6" x14ac:dyDescent="0.3">
      <c r="A60" s="6" t="s">
        <v>19</v>
      </c>
      <c r="B60" s="6" t="s">
        <v>20</v>
      </c>
      <c r="C60" s="8">
        <v>6279.75</v>
      </c>
      <c r="D60" s="8">
        <v>23326.55</v>
      </c>
      <c r="E60" s="57"/>
      <c r="F60" s="13">
        <v>10000</v>
      </c>
    </row>
    <row r="61" spans="1:6" x14ac:dyDescent="0.3">
      <c r="A61" s="6" t="s">
        <v>105</v>
      </c>
      <c r="B61" s="6" t="s">
        <v>104</v>
      </c>
      <c r="C61" s="8"/>
      <c r="D61" s="8">
        <v>3125</v>
      </c>
      <c r="E61" s="57"/>
      <c r="F61" s="13"/>
    </row>
    <row r="62" spans="1:6" x14ac:dyDescent="0.3">
      <c r="A62" s="6" t="s">
        <v>49</v>
      </c>
      <c r="B62" s="6" t="s">
        <v>157</v>
      </c>
      <c r="C62" s="8"/>
      <c r="D62" s="8"/>
      <c r="E62" s="57">
        <v>4000</v>
      </c>
      <c r="F62" s="13"/>
    </row>
    <row r="63" spans="1:6" x14ac:dyDescent="0.3">
      <c r="A63" s="6" t="s">
        <v>47</v>
      </c>
      <c r="B63" s="6" t="s">
        <v>46</v>
      </c>
      <c r="C63" s="8">
        <v>97659</v>
      </c>
      <c r="D63" s="8">
        <v>68191</v>
      </c>
      <c r="E63" s="57">
        <v>135000</v>
      </c>
      <c r="F63" s="30">
        <v>275000</v>
      </c>
    </row>
    <row r="64" spans="1:6" x14ac:dyDescent="0.3">
      <c r="A64" s="6" t="s">
        <v>38</v>
      </c>
      <c r="B64" s="6" t="s">
        <v>66</v>
      </c>
      <c r="C64" s="8">
        <v>569</v>
      </c>
      <c r="D64" s="8"/>
      <c r="E64" s="57"/>
      <c r="F64" s="13"/>
    </row>
    <row r="65" spans="1:6" x14ac:dyDescent="0.3">
      <c r="A65" s="6" t="s">
        <v>21</v>
      </c>
      <c r="B65" s="6" t="s">
        <v>22</v>
      </c>
      <c r="C65" s="8">
        <v>6949.38</v>
      </c>
      <c r="D65" s="8"/>
      <c r="E65" s="57">
        <v>20000</v>
      </c>
      <c r="F65" s="13">
        <v>20000</v>
      </c>
    </row>
    <row r="66" spans="1:6" x14ac:dyDescent="0.3">
      <c r="A66" s="6" t="s">
        <v>103</v>
      </c>
      <c r="B66" s="6" t="s">
        <v>102</v>
      </c>
      <c r="C66" s="8">
        <v>2600</v>
      </c>
      <c r="D66" s="8"/>
      <c r="E66" s="57">
        <v>15000</v>
      </c>
      <c r="F66" s="13">
        <v>10000</v>
      </c>
    </row>
    <row r="67" spans="1:6" x14ac:dyDescent="0.3">
      <c r="A67" s="6" t="s">
        <v>101</v>
      </c>
      <c r="B67" s="6" t="s">
        <v>100</v>
      </c>
      <c r="C67" s="8">
        <v>45490</v>
      </c>
      <c r="D67" s="8">
        <v>51772</v>
      </c>
      <c r="E67" s="57"/>
      <c r="F67" s="13">
        <v>55000</v>
      </c>
    </row>
    <row r="68" spans="1:6" x14ac:dyDescent="0.3">
      <c r="A68" s="6" t="s">
        <v>99</v>
      </c>
      <c r="B68" s="6" t="s">
        <v>98</v>
      </c>
      <c r="C68" s="8">
        <v>0</v>
      </c>
      <c r="D68" s="8"/>
      <c r="E68" s="57"/>
      <c r="F68" s="13"/>
    </row>
    <row r="69" spans="1:6" x14ac:dyDescent="0.3">
      <c r="A69" s="6" t="s">
        <v>45</v>
      </c>
      <c r="B69" s="6" t="s">
        <v>44</v>
      </c>
      <c r="C69" s="8">
        <v>2061.6999999999998</v>
      </c>
      <c r="D69" s="8">
        <v>1325.37</v>
      </c>
      <c r="E69" s="57"/>
      <c r="F69" s="13">
        <v>2000</v>
      </c>
    </row>
    <row r="70" spans="1:6" x14ac:dyDescent="0.3">
      <c r="A70" s="6" t="s">
        <v>97</v>
      </c>
      <c r="B70" s="6" t="s">
        <v>96</v>
      </c>
      <c r="C70" s="8">
        <v>36000</v>
      </c>
      <c r="D70" s="8">
        <v>-500</v>
      </c>
      <c r="E70" s="57">
        <v>5000</v>
      </c>
      <c r="F70" s="13">
        <v>20000</v>
      </c>
    </row>
    <row r="71" spans="1:6" x14ac:dyDescent="0.3">
      <c r="A71" s="6" t="s">
        <v>43</v>
      </c>
      <c r="B71" s="6" t="s">
        <v>95</v>
      </c>
      <c r="C71" s="8">
        <v>0</v>
      </c>
      <c r="D71" s="8">
        <v>2437.5</v>
      </c>
      <c r="E71" s="57"/>
      <c r="F71" s="13"/>
    </row>
    <row r="72" spans="1:6" x14ac:dyDescent="0.3">
      <c r="A72" s="7"/>
      <c r="B72" s="7" t="s">
        <v>23</v>
      </c>
      <c r="C72" s="9">
        <f>C28+C32+C41+1</f>
        <v>854316.17999999993</v>
      </c>
      <c r="D72" s="9">
        <v>810004.22</v>
      </c>
      <c r="E72" s="59">
        <f>E28+E32+E41</f>
        <v>739000</v>
      </c>
      <c r="F72" s="16">
        <f>F28+F32+F41</f>
        <v>1102000</v>
      </c>
    </row>
    <row r="73" spans="1:6" x14ac:dyDescent="0.3">
      <c r="A73" s="7"/>
      <c r="B73" s="7" t="s">
        <v>24</v>
      </c>
      <c r="C73" s="9">
        <f>C27-C72</f>
        <v>358304.15000000014</v>
      </c>
      <c r="D73" s="9">
        <v>152022.62</v>
      </c>
      <c r="E73" s="60">
        <f>E27-E72</f>
        <v>31000</v>
      </c>
      <c r="F73" s="15">
        <f>F27-F72</f>
        <v>-127000</v>
      </c>
    </row>
    <row r="74" spans="1:6" x14ac:dyDescent="0.3">
      <c r="C74" s="28"/>
      <c r="D74" s="28"/>
    </row>
  </sheetData>
  <sheetProtection algorithmName="SHA-512" hashValue="79uXEFxlLSnQsezxOnHD4+egTGz66cWfVsQ96cPHZfGQmF2rYtAu1t3qh8T73ZdJlc3UEnfWwqUff8JtHNJOGw==" saltValue="mLQTGOidiytrAcKl1Nw5PA==" spinCount="100000" sheet="1" objects="1" scenarios="1"/>
  <mergeCells count="2">
    <mergeCell ref="E4:F4"/>
    <mergeCell ref="C4:D4"/>
  </mergeCells>
  <pageMargins left="0.75" right="0.75" top="0.75" bottom="0.5" header="0.5" footer="0.7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8E99F-7A58-4406-BFAB-56B57F4FE40F}">
  <dimension ref="A1:F29"/>
  <sheetViews>
    <sheetView zoomScaleNormal="100" workbookViewId="0">
      <pane ySplit="5" topLeftCell="A6" activePane="bottomLeft" state="frozenSplit"/>
      <selection pane="bottomLeft" activeCell="I1" sqref="I1"/>
    </sheetView>
  </sheetViews>
  <sheetFormatPr baseColWidth="10" defaultColWidth="8.88671875" defaultRowHeight="14.4" x14ac:dyDescent="0.3"/>
  <cols>
    <col min="1" max="1" width="20.109375" customWidth="1"/>
    <col min="2" max="2" width="32.77734375" customWidth="1"/>
    <col min="3" max="4" width="10.33203125" customWidth="1"/>
    <col min="5" max="5" width="10.44140625" bestFit="1" customWidth="1"/>
    <col min="6" max="6" width="10.33203125" bestFit="1" customWidth="1"/>
  </cols>
  <sheetData>
    <row r="1" spans="1:6" ht="27" customHeight="1" x14ac:dyDescent="0.5">
      <c r="A1" s="2" t="s">
        <v>0</v>
      </c>
    </row>
    <row r="2" spans="1:6" ht="18" customHeight="1" x14ac:dyDescent="0.35">
      <c r="A2" s="3" t="s">
        <v>1</v>
      </c>
    </row>
    <row r="3" spans="1:6" ht="18" customHeight="1" x14ac:dyDescent="0.35">
      <c r="A3" s="1" t="s">
        <v>87</v>
      </c>
    </row>
    <row r="4" spans="1:6" x14ac:dyDescent="0.3">
      <c r="C4" s="68" t="s">
        <v>154</v>
      </c>
      <c r="D4" s="69"/>
      <c r="E4" s="68" t="s">
        <v>25</v>
      </c>
      <c r="F4" s="69"/>
    </row>
    <row r="5" spans="1:6" x14ac:dyDescent="0.3">
      <c r="A5" s="4" t="s">
        <v>3</v>
      </c>
      <c r="B5" s="4" t="s">
        <v>4</v>
      </c>
      <c r="C5" s="31" t="s">
        <v>5</v>
      </c>
      <c r="D5" s="32" t="s">
        <v>6</v>
      </c>
      <c r="E5" s="31">
        <v>2022</v>
      </c>
      <c r="F5" s="32">
        <v>2023</v>
      </c>
    </row>
    <row r="6" spans="1:6" x14ac:dyDescent="0.3">
      <c r="A6" s="5"/>
      <c r="B6" s="5" t="s">
        <v>64</v>
      </c>
      <c r="C6" s="33">
        <v>5810.89</v>
      </c>
      <c r="D6" s="33">
        <v>1375.14</v>
      </c>
      <c r="E6" s="18">
        <f>SUM(E7:E10)</f>
        <v>4000</v>
      </c>
      <c r="F6" s="18">
        <f>SUM(F7:F10)</f>
        <v>8000</v>
      </c>
    </row>
    <row r="7" spans="1:6" x14ac:dyDescent="0.3">
      <c r="A7" s="6" t="s">
        <v>26</v>
      </c>
      <c r="B7" s="6" t="s">
        <v>31</v>
      </c>
      <c r="C7" s="19"/>
      <c r="D7" s="19">
        <v>1375.14</v>
      </c>
      <c r="E7" s="13"/>
      <c r="F7" s="13"/>
    </row>
    <row r="8" spans="1:6" x14ac:dyDescent="0.3">
      <c r="A8" s="6" t="s">
        <v>27</v>
      </c>
      <c r="B8" s="6" t="s">
        <v>32</v>
      </c>
      <c r="C8" s="19"/>
      <c r="D8" s="19"/>
      <c r="E8" s="13">
        <v>3000</v>
      </c>
      <c r="F8" s="13">
        <v>500</v>
      </c>
    </row>
    <row r="9" spans="1:6" x14ac:dyDescent="0.3">
      <c r="A9" s="6" t="s">
        <v>61</v>
      </c>
      <c r="B9" s="6" t="s">
        <v>33</v>
      </c>
      <c r="C9" s="19">
        <v>535</v>
      </c>
      <c r="D9" s="19"/>
      <c r="E9" s="13">
        <v>1000</v>
      </c>
      <c r="F9" s="13">
        <v>500</v>
      </c>
    </row>
    <row r="10" spans="1:6" x14ac:dyDescent="0.3">
      <c r="A10" s="6" t="s">
        <v>60</v>
      </c>
      <c r="B10" s="6" t="s">
        <v>59</v>
      </c>
      <c r="C10" s="19">
        <v>5275.89</v>
      </c>
      <c r="D10" s="19"/>
      <c r="E10" s="13"/>
      <c r="F10" s="13">
        <v>7000</v>
      </c>
    </row>
    <row r="11" spans="1:6" x14ac:dyDescent="0.3">
      <c r="A11" s="5"/>
      <c r="B11" s="5" t="s">
        <v>7</v>
      </c>
      <c r="C11" s="33">
        <v>17417.64</v>
      </c>
      <c r="D11" s="33">
        <v>17641.96</v>
      </c>
      <c r="E11" s="18">
        <f>SUM(E12:E15)</f>
        <v>46000</v>
      </c>
      <c r="F11" s="18">
        <f>SUM(F12:F15)</f>
        <v>24000</v>
      </c>
    </row>
    <row r="12" spans="1:6" x14ac:dyDescent="0.3">
      <c r="A12" s="6" t="s">
        <v>58</v>
      </c>
      <c r="B12" s="6" t="s">
        <v>57</v>
      </c>
      <c r="C12" s="19">
        <v>16100</v>
      </c>
      <c r="D12" s="19">
        <v>4500</v>
      </c>
      <c r="E12" s="13">
        <v>25000</v>
      </c>
      <c r="F12" s="13">
        <v>20000</v>
      </c>
    </row>
    <row r="13" spans="1:6" x14ac:dyDescent="0.3">
      <c r="A13" s="6" t="s">
        <v>29</v>
      </c>
      <c r="B13" s="6" t="s">
        <v>56</v>
      </c>
      <c r="C13" s="19"/>
      <c r="D13" s="19">
        <v>11617.71</v>
      </c>
      <c r="E13" s="13">
        <v>18000</v>
      </c>
      <c r="F13" s="13">
        <v>1000</v>
      </c>
    </row>
    <row r="14" spans="1:6" x14ac:dyDescent="0.3">
      <c r="A14" s="6" t="s">
        <v>30</v>
      </c>
      <c r="B14" s="6" t="s">
        <v>55</v>
      </c>
      <c r="C14" s="19">
        <v>1317.64</v>
      </c>
      <c r="D14" s="19">
        <v>524.25</v>
      </c>
      <c r="E14" s="13">
        <v>3000</v>
      </c>
      <c r="F14" s="13">
        <v>2000</v>
      </c>
    </row>
    <row r="15" spans="1:6" x14ac:dyDescent="0.3">
      <c r="A15" s="6" t="s">
        <v>8</v>
      </c>
      <c r="B15" s="6" t="s">
        <v>9</v>
      </c>
      <c r="C15" s="19"/>
      <c r="D15" s="19">
        <v>1000</v>
      </c>
      <c r="E15" s="13"/>
      <c r="F15" s="13">
        <v>1000</v>
      </c>
    </row>
    <row r="16" spans="1:6" x14ac:dyDescent="0.3">
      <c r="A16" s="7"/>
      <c r="B16" s="7" t="s">
        <v>10</v>
      </c>
      <c r="C16" s="34">
        <v>23228.53</v>
      </c>
      <c r="D16" s="34">
        <v>19017.099999999999</v>
      </c>
      <c r="E16" s="16">
        <f>E6+E11</f>
        <v>50000</v>
      </c>
      <c r="F16" s="16">
        <f>F6+F11</f>
        <v>32000</v>
      </c>
    </row>
    <row r="17" spans="1:6" x14ac:dyDescent="0.3">
      <c r="A17" s="5"/>
      <c r="B17" s="5" t="s">
        <v>11</v>
      </c>
      <c r="C17" s="33">
        <v>20500</v>
      </c>
      <c r="D17" s="33">
        <v>13000</v>
      </c>
      <c r="E17" s="18">
        <f>SUM(E18)</f>
        <v>32000</v>
      </c>
      <c r="F17" s="18">
        <f>SUM(F18)</f>
        <v>30000</v>
      </c>
    </row>
    <row r="18" spans="1:6" x14ac:dyDescent="0.3">
      <c r="A18" s="6" t="s">
        <v>12</v>
      </c>
      <c r="B18" s="6" t="s">
        <v>13</v>
      </c>
      <c r="C18" s="19">
        <v>20500</v>
      </c>
      <c r="D18" s="19">
        <v>13000</v>
      </c>
      <c r="E18" s="13">
        <v>32000</v>
      </c>
      <c r="F18" s="13">
        <v>30000</v>
      </c>
    </row>
    <row r="19" spans="1:6" x14ac:dyDescent="0.3">
      <c r="A19" s="5"/>
      <c r="B19" s="5" t="s">
        <v>14</v>
      </c>
      <c r="C19" s="33">
        <v>12396.9</v>
      </c>
      <c r="D19" s="33">
        <v>3943.15</v>
      </c>
      <c r="E19" s="18">
        <f>SUM(E20:E26)</f>
        <v>13000</v>
      </c>
      <c r="F19" s="18">
        <f>SUM(F20:F26)</f>
        <v>31000</v>
      </c>
    </row>
    <row r="20" spans="1:6" x14ac:dyDescent="0.3">
      <c r="A20" s="6" t="s">
        <v>86</v>
      </c>
      <c r="B20" s="6" t="s">
        <v>85</v>
      </c>
      <c r="C20" s="19">
        <v>6387</v>
      </c>
      <c r="D20" s="19">
        <v>0</v>
      </c>
      <c r="E20" s="13">
        <v>0</v>
      </c>
      <c r="F20" s="13">
        <v>12000</v>
      </c>
    </row>
    <row r="21" spans="1:6" x14ac:dyDescent="0.3">
      <c r="A21" s="6" t="s">
        <v>15</v>
      </c>
      <c r="B21" s="6" t="s">
        <v>16</v>
      </c>
      <c r="C21" s="19">
        <v>846</v>
      </c>
      <c r="D21" s="19">
        <v>345</v>
      </c>
      <c r="E21" s="13">
        <v>10000</v>
      </c>
      <c r="F21" s="13">
        <v>5000</v>
      </c>
    </row>
    <row r="22" spans="1:6" x14ac:dyDescent="0.3">
      <c r="A22" s="6" t="s">
        <v>17</v>
      </c>
      <c r="B22" s="6" t="s">
        <v>18</v>
      </c>
      <c r="C22" s="19">
        <v>3220</v>
      </c>
      <c r="D22" s="19">
        <v>3008.2</v>
      </c>
      <c r="E22" s="13">
        <v>0</v>
      </c>
      <c r="F22" s="13">
        <v>10000</v>
      </c>
    </row>
    <row r="23" spans="1:6" x14ac:dyDescent="0.3">
      <c r="A23" s="6" t="s">
        <v>84</v>
      </c>
      <c r="B23" s="6" t="s">
        <v>83</v>
      </c>
      <c r="C23" s="19">
        <v>1408</v>
      </c>
      <c r="D23" s="19">
        <v>0</v>
      </c>
      <c r="E23" s="13">
        <v>0</v>
      </c>
      <c r="F23" s="13"/>
    </row>
    <row r="24" spans="1:6" x14ac:dyDescent="0.3">
      <c r="A24" s="6" t="s">
        <v>19</v>
      </c>
      <c r="B24" s="6" t="s">
        <v>20</v>
      </c>
      <c r="C24" s="19">
        <v>0</v>
      </c>
      <c r="D24" s="19">
        <v>435</v>
      </c>
      <c r="E24" s="13">
        <v>0</v>
      </c>
      <c r="F24" s="13">
        <v>3000</v>
      </c>
    </row>
    <row r="25" spans="1:6" x14ac:dyDescent="0.3">
      <c r="A25" s="6" t="s">
        <v>45</v>
      </c>
      <c r="B25" s="6" t="s">
        <v>44</v>
      </c>
      <c r="C25" s="19">
        <v>535.9</v>
      </c>
      <c r="D25" s="19">
        <v>154.94999999999999</v>
      </c>
      <c r="E25" s="13">
        <v>0</v>
      </c>
      <c r="F25" s="13">
        <v>1000</v>
      </c>
    </row>
    <row r="26" spans="1:6" x14ac:dyDescent="0.3">
      <c r="A26" s="6" t="s">
        <v>43</v>
      </c>
      <c r="B26" s="6" t="s">
        <v>42</v>
      </c>
      <c r="C26" s="19">
        <v>0</v>
      </c>
      <c r="D26" s="19">
        <v>0</v>
      </c>
      <c r="E26" s="13">
        <v>3000</v>
      </c>
      <c r="F26" s="13"/>
    </row>
    <row r="27" spans="1:6" x14ac:dyDescent="0.3">
      <c r="A27" s="7"/>
      <c r="B27" s="7" t="s">
        <v>23</v>
      </c>
      <c r="C27" s="34">
        <v>32896.9</v>
      </c>
      <c r="D27" s="34">
        <v>16943.150000000001</v>
      </c>
      <c r="E27" s="16">
        <f>E19+E17</f>
        <v>45000</v>
      </c>
      <c r="F27" s="16">
        <f>F19+F17</f>
        <v>61000</v>
      </c>
    </row>
    <row r="28" spans="1:6" x14ac:dyDescent="0.3">
      <c r="A28" s="7"/>
      <c r="B28" s="7" t="s">
        <v>24</v>
      </c>
      <c r="C28" s="34">
        <v>-9668.3700000000008</v>
      </c>
      <c r="D28" s="34">
        <v>2073.9499999999998</v>
      </c>
      <c r="E28" s="15">
        <f>E16-E27</f>
        <v>5000</v>
      </c>
      <c r="F28" s="15">
        <f>F16-F27</f>
        <v>-29000</v>
      </c>
    </row>
    <row r="29" spans="1:6" x14ac:dyDescent="0.3">
      <c r="C29" s="13"/>
      <c r="D29" s="13"/>
      <c r="E29" s="13"/>
      <c r="F29" s="13"/>
    </row>
  </sheetData>
  <sheetProtection algorithmName="SHA-512" hashValue="fsGqX2r3KccHrPSCSoS+xJ7Vp37k6XYYCv2fjkNbSK5juRlck4+ZrnSpljIZAnpOP0jQ59YNxaRHzmoiL2Fy3A==" saltValue="Id3G/Ml/a14qdfmEIyrJKA==" spinCount="100000" sheet="1" objects="1" scenarios="1"/>
  <mergeCells count="2">
    <mergeCell ref="E4:F4"/>
    <mergeCell ref="C4:D4"/>
  </mergeCells>
  <pageMargins left="0.75" right="0.75" top="0.75" bottom="0.5" header="0.5" footer="0.7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FA3AA-6E00-4601-9C11-31242BC1961A}">
  <dimension ref="A1:F25"/>
  <sheetViews>
    <sheetView zoomScaleNormal="100" workbookViewId="0">
      <pane ySplit="5" topLeftCell="A6" activePane="bottomLeft" state="frozenSplit"/>
      <selection pane="bottomLeft" activeCell="G1" sqref="G1"/>
    </sheetView>
  </sheetViews>
  <sheetFormatPr baseColWidth="10" defaultColWidth="8.88671875" defaultRowHeight="14.4" x14ac:dyDescent="0.3"/>
  <cols>
    <col min="1" max="1" width="20.109375" customWidth="1"/>
    <col min="2" max="2" width="29" customWidth="1"/>
    <col min="3" max="4" width="10.33203125" customWidth="1"/>
    <col min="5" max="5" width="10.33203125" bestFit="1" customWidth="1"/>
    <col min="6" max="6" width="11.5546875" bestFit="1" customWidth="1"/>
  </cols>
  <sheetData>
    <row r="1" spans="1:6" ht="27" customHeight="1" x14ac:dyDescent="0.5">
      <c r="A1" s="2" t="s">
        <v>0</v>
      </c>
    </row>
    <row r="2" spans="1:6" ht="18" customHeight="1" x14ac:dyDescent="0.35">
      <c r="A2" s="3" t="s">
        <v>1</v>
      </c>
    </row>
    <row r="3" spans="1:6" ht="18" customHeight="1" x14ac:dyDescent="0.35">
      <c r="A3" s="1" t="s">
        <v>76</v>
      </c>
    </row>
    <row r="4" spans="1:6" x14ac:dyDescent="0.3">
      <c r="E4" s="4" t="s">
        <v>25</v>
      </c>
      <c r="F4" s="4" t="s">
        <v>25</v>
      </c>
    </row>
    <row r="5" spans="1:6" x14ac:dyDescent="0.3">
      <c r="A5" s="4" t="s">
        <v>3</v>
      </c>
      <c r="B5" s="4" t="s">
        <v>4</v>
      </c>
      <c r="C5" s="4" t="s">
        <v>5</v>
      </c>
      <c r="D5" s="4" t="s">
        <v>6</v>
      </c>
      <c r="E5" s="4">
        <v>2022</v>
      </c>
      <c r="F5" s="4">
        <v>2023</v>
      </c>
    </row>
    <row r="6" spans="1:6" x14ac:dyDescent="0.3">
      <c r="A6" s="5"/>
      <c r="B6" s="5" t="s">
        <v>64</v>
      </c>
      <c r="C6" s="23">
        <v>20445.02</v>
      </c>
      <c r="D6" s="23">
        <v>69887</v>
      </c>
      <c r="E6" s="24">
        <f>SUM(E7)</f>
        <v>20000</v>
      </c>
      <c r="F6" s="24">
        <f>SUM(F7)</f>
        <v>0</v>
      </c>
    </row>
    <row r="7" spans="1:6" x14ac:dyDescent="0.3">
      <c r="A7" s="6" t="s">
        <v>26</v>
      </c>
      <c r="B7" s="6" t="s">
        <v>31</v>
      </c>
      <c r="C7" s="8">
        <v>20445.02</v>
      </c>
      <c r="D7" s="8">
        <v>69887</v>
      </c>
      <c r="E7" s="25">
        <v>20000</v>
      </c>
      <c r="F7" s="25">
        <v>0</v>
      </c>
    </row>
    <row r="8" spans="1:6" x14ac:dyDescent="0.3">
      <c r="A8" s="5"/>
      <c r="B8" s="5" t="s">
        <v>7</v>
      </c>
      <c r="C8" s="23">
        <v>4622.1400000000003</v>
      </c>
      <c r="D8" s="23">
        <v>3644.18</v>
      </c>
      <c r="E8" s="24">
        <f>SUM(E9:E10)</f>
        <v>6000</v>
      </c>
      <c r="F8" s="24">
        <f>SUM(F9:F10)</f>
        <v>20500</v>
      </c>
    </row>
    <row r="9" spans="1:6" x14ac:dyDescent="0.3">
      <c r="A9" s="6" t="s">
        <v>75</v>
      </c>
      <c r="B9" s="6" t="s">
        <v>74</v>
      </c>
      <c r="C9" s="8">
        <v>4100</v>
      </c>
      <c r="D9" s="8">
        <v>2100</v>
      </c>
      <c r="E9" s="25">
        <v>3000</v>
      </c>
      <c r="F9" s="25">
        <v>20000</v>
      </c>
    </row>
    <row r="10" spans="1:6" x14ac:dyDescent="0.3">
      <c r="A10" s="6" t="s">
        <v>30</v>
      </c>
      <c r="B10" s="6" t="s">
        <v>55</v>
      </c>
      <c r="C10" s="8">
        <v>522.14</v>
      </c>
      <c r="D10" s="8">
        <v>1544.18</v>
      </c>
      <c r="E10" s="25">
        <v>3000</v>
      </c>
      <c r="F10" s="25">
        <v>500</v>
      </c>
    </row>
    <row r="11" spans="1:6" x14ac:dyDescent="0.3">
      <c r="A11" s="7"/>
      <c r="B11" s="7" t="s">
        <v>10</v>
      </c>
      <c r="C11" s="9">
        <v>25067.16</v>
      </c>
      <c r="D11" s="9">
        <v>73531.179999999993</v>
      </c>
      <c r="E11" s="26">
        <f>SUM(E7:E10)</f>
        <v>32000</v>
      </c>
      <c r="F11" s="26">
        <f>SUM(F9:F10)</f>
        <v>20500</v>
      </c>
    </row>
    <row r="12" spans="1:6" x14ac:dyDescent="0.3">
      <c r="A12" s="5"/>
      <c r="B12" s="5" t="s">
        <v>11</v>
      </c>
      <c r="C12" s="23">
        <v>0</v>
      </c>
      <c r="D12" s="23">
        <v>3500</v>
      </c>
      <c r="E12" s="25">
        <v>0</v>
      </c>
      <c r="F12" s="25"/>
    </row>
    <row r="13" spans="1:6" x14ac:dyDescent="0.3">
      <c r="A13" s="6" t="s">
        <v>36</v>
      </c>
      <c r="B13" s="6" t="s">
        <v>41</v>
      </c>
      <c r="C13" s="8">
        <v>0</v>
      </c>
      <c r="D13" s="8">
        <v>3500</v>
      </c>
      <c r="E13" s="25">
        <v>3000</v>
      </c>
      <c r="F13" s="25">
        <v>5000</v>
      </c>
    </row>
    <row r="14" spans="1:6" x14ac:dyDescent="0.3">
      <c r="A14" s="5"/>
      <c r="B14" s="5" t="s">
        <v>14</v>
      </c>
      <c r="C14" s="23">
        <v>7719</v>
      </c>
      <c r="D14" s="23">
        <v>3213.5</v>
      </c>
      <c r="E14" s="25">
        <v>0</v>
      </c>
      <c r="F14" s="25"/>
    </row>
    <row r="15" spans="1:6" x14ac:dyDescent="0.3">
      <c r="A15" s="6" t="s">
        <v>73</v>
      </c>
      <c r="B15" s="6" t="s">
        <v>72</v>
      </c>
      <c r="C15" s="8">
        <v>1375</v>
      </c>
      <c r="D15" s="8">
        <v>369.5</v>
      </c>
      <c r="E15" s="25">
        <v>0</v>
      </c>
      <c r="F15" s="25"/>
    </row>
    <row r="16" spans="1:6" x14ac:dyDescent="0.3">
      <c r="A16" s="6" t="s">
        <v>77</v>
      </c>
      <c r="B16" s="6" t="s">
        <v>78</v>
      </c>
      <c r="C16" s="8">
        <v>0</v>
      </c>
      <c r="D16" s="8">
        <v>0</v>
      </c>
      <c r="E16" s="25">
        <v>4000</v>
      </c>
      <c r="F16" s="25">
        <v>50000</v>
      </c>
    </row>
    <row r="17" spans="1:6" x14ac:dyDescent="0.3">
      <c r="A17" s="6" t="s">
        <v>71</v>
      </c>
      <c r="B17" s="6" t="s">
        <v>70</v>
      </c>
      <c r="C17" s="8">
        <v>1254</v>
      </c>
      <c r="D17" s="8">
        <v>0</v>
      </c>
      <c r="E17" s="25">
        <v>0</v>
      </c>
      <c r="F17" s="25"/>
    </row>
    <row r="18" spans="1:6" x14ac:dyDescent="0.3">
      <c r="A18" s="6" t="s">
        <v>79</v>
      </c>
      <c r="B18" s="6" t="s">
        <v>80</v>
      </c>
      <c r="C18" s="8">
        <v>0</v>
      </c>
      <c r="D18" s="8">
        <v>0</v>
      </c>
      <c r="E18" s="25">
        <v>70000</v>
      </c>
      <c r="F18" s="25">
        <v>100000</v>
      </c>
    </row>
    <row r="19" spans="1:6" x14ac:dyDescent="0.3">
      <c r="A19" s="6" t="s">
        <v>54</v>
      </c>
      <c r="B19" s="6" t="s">
        <v>53</v>
      </c>
      <c r="C19" s="8">
        <v>5090</v>
      </c>
      <c r="D19" s="8">
        <v>2545</v>
      </c>
      <c r="E19" s="25">
        <v>0</v>
      </c>
      <c r="F19" s="25">
        <v>30000</v>
      </c>
    </row>
    <row r="20" spans="1:6" x14ac:dyDescent="0.3">
      <c r="A20" s="6" t="s">
        <v>81</v>
      </c>
      <c r="B20" s="6" t="s">
        <v>82</v>
      </c>
      <c r="C20" s="8">
        <v>0</v>
      </c>
      <c r="D20" s="8">
        <v>0</v>
      </c>
      <c r="E20" s="25">
        <v>1000</v>
      </c>
      <c r="F20" s="25">
        <v>5000</v>
      </c>
    </row>
    <row r="21" spans="1:6" x14ac:dyDescent="0.3">
      <c r="A21" s="6" t="s">
        <v>69</v>
      </c>
      <c r="B21" s="6" t="s">
        <v>68</v>
      </c>
      <c r="C21" s="8">
        <v>0</v>
      </c>
      <c r="D21" s="8">
        <v>299</v>
      </c>
      <c r="E21" s="25">
        <v>0</v>
      </c>
      <c r="F21" s="25"/>
    </row>
    <row r="22" spans="1:6" x14ac:dyDescent="0.3">
      <c r="A22" s="7"/>
      <c r="B22" s="7" t="s">
        <v>23</v>
      </c>
      <c r="C22" s="9">
        <v>7719</v>
      </c>
      <c r="D22" s="9">
        <v>6713.5</v>
      </c>
      <c r="E22" s="26">
        <v>78000</v>
      </c>
      <c r="F22" s="26">
        <f>SUM(F13:F21)</f>
        <v>190000</v>
      </c>
    </row>
    <row r="23" spans="1:6" x14ac:dyDescent="0.3">
      <c r="A23" s="7"/>
      <c r="B23" s="7" t="s">
        <v>24</v>
      </c>
      <c r="C23" s="9">
        <v>17348.16</v>
      </c>
      <c r="D23" s="9">
        <v>66817.679999999993</v>
      </c>
      <c r="E23" s="27">
        <f>E11-E22</f>
        <v>-46000</v>
      </c>
      <c r="F23" s="26">
        <f>F11-F22</f>
        <v>-169500</v>
      </c>
    </row>
    <row r="24" spans="1:6" x14ac:dyDescent="0.3">
      <c r="C24" s="28"/>
      <c r="D24" s="28"/>
      <c r="E24" s="28"/>
      <c r="F24" s="28"/>
    </row>
    <row r="25" spans="1:6" x14ac:dyDescent="0.3">
      <c r="C25" s="28"/>
      <c r="D25" s="28"/>
      <c r="E25" s="28"/>
      <c r="F25" s="28"/>
    </row>
  </sheetData>
  <sheetProtection algorithmName="SHA-512" hashValue="JagOqV/Nb+Cy1c0mweoQcoYxOFDQivsYiFu/ojQcmc749i9uz1N/Xm4VILGlYwBgh4gfBxxE24sQ9VFWgx6AQg==" saltValue="qLMbgCEQAah0oNxjA4IOIQ==" spinCount="100000" sheet="1" objects="1" scenarios="1"/>
  <pageMargins left="0.75" right="0.75" top="0.75" bottom="0.5" header="0.5" footer="0.7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743A-85FC-4B8D-A246-AF953790AA49}">
  <dimension ref="A1:F17"/>
  <sheetViews>
    <sheetView workbookViewId="0">
      <selection activeCell="H1" sqref="H1"/>
    </sheetView>
  </sheetViews>
  <sheetFormatPr baseColWidth="10" defaultRowHeight="14.4" x14ac:dyDescent="0.3"/>
  <sheetData>
    <row r="1" spans="1:6" ht="25.8" x14ac:dyDescent="0.5">
      <c r="A1" s="65" t="s">
        <v>0</v>
      </c>
      <c r="B1" s="66"/>
      <c r="C1" s="66"/>
      <c r="D1" s="66"/>
      <c r="E1" s="66"/>
      <c r="F1" s="66"/>
    </row>
    <row r="2" spans="1:6" ht="17.399999999999999" x14ac:dyDescent="0.35">
      <c r="A2" s="3" t="s">
        <v>1</v>
      </c>
    </row>
    <row r="3" spans="1:6" ht="17.399999999999999" x14ac:dyDescent="0.35">
      <c r="A3" s="67" t="s">
        <v>306</v>
      </c>
      <c r="B3" s="66"/>
      <c r="C3" s="66"/>
      <c r="D3" s="66"/>
      <c r="E3" s="66"/>
      <c r="F3" s="66"/>
    </row>
    <row r="5" spans="1:6" x14ac:dyDescent="0.3">
      <c r="A5" s="4" t="s">
        <v>3</v>
      </c>
      <c r="B5" s="4" t="s">
        <v>4</v>
      </c>
      <c r="C5" s="4" t="s">
        <v>307</v>
      </c>
      <c r="D5" s="4" t="s">
        <v>25</v>
      </c>
    </row>
    <row r="6" spans="1:6" x14ac:dyDescent="0.3">
      <c r="A6" s="5"/>
      <c r="B6" s="5" t="s">
        <v>14</v>
      </c>
      <c r="C6" s="61">
        <v>944</v>
      </c>
      <c r="D6" s="61">
        <v>0</v>
      </c>
    </row>
    <row r="7" spans="1:6" x14ac:dyDescent="0.3">
      <c r="A7" s="6" t="s">
        <v>43</v>
      </c>
      <c r="B7" s="6" t="s">
        <v>95</v>
      </c>
      <c r="C7" s="62">
        <v>944</v>
      </c>
      <c r="D7" s="62">
        <v>0</v>
      </c>
    </row>
    <row r="8" spans="1:6" x14ac:dyDescent="0.3">
      <c r="A8" s="7"/>
      <c r="B8" s="7" t="s">
        <v>23</v>
      </c>
      <c r="C8" s="63">
        <v>944</v>
      </c>
      <c r="D8" s="63">
        <v>0</v>
      </c>
    </row>
    <row r="9" spans="1:6" x14ac:dyDescent="0.3">
      <c r="A9" s="7"/>
      <c r="B9" s="7" t="s">
        <v>24</v>
      </c>
      <c r="C9" s="63">
        <v>-944</v>
      </c>
      <c r="D9" s="63">
        <v>0</v>
      </c>
    </row>
    <row r="13" spans="1:6" x14ac:dyDescent="0.3">
      <c r="A13" s="4" t="s">
        <v>311</v>
      </c>
    </row>
    <row r="14" spans="1:6" x14ac:dyDescent="0.3">
      <c r="A14" s="4" t="s">
        <v>308</v>
      </c>
    </row>
    <row r="15" spans="1:6" x14ac:dyDescent="0.3">
      <c r="A15" s="4" t="s">
        <v>309</v>
      </c>
    </row>
    <row r="16" spans="1:6" x14ac:dyDescent="0.3">
      <c r="A16" s="4"/>
    </row>
    <row r="17" spans="1:1" x14ac:dyDescent="0.3">
      <c r="A17" s="4" t="s">
        <v>310</v>
      </c>
    </row>
  </sheetData>
  <sheetProtection algorithmName="SHA-512" hashValue="TApu5CStpNaqK4FbgI2R/HZyDj/YDfGjeRVXe9GJogtmAKg/WDV4uhIR6rNzSCfwmDpV2TG9lUiaDWkT5sLeDw==" saltValue="/OStuclFdUXUv+1GtRVgAw==" spinCount="100000" sheet="1" objects="1" scenarios="1"/>
  <mergeCells count="2">
    <mergeCell ref="A1:F1"/>
    <mergeCell ref="A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CAFB-0BC0-4FF2-A601-15445E2CCFB4}">
  <dimension ref="A1:J41"/>
  <sheetViews>
    <sheetView zoomScaleNormal="100" workbookViewId="0">
      <pane ySplit="5" topLeftCell="A6" activePane="bottomLeft" state="frozenSplit"/>
      <selection pane="bottomLeft" activeCell="L1" sqref="L1"/>
    </sheetView>
  </sheetViews>
  <sheetFormatPr baseColWidth="10" defaultColWidth="8.88671875" defaultRowHeight="14.4" x14ac:dyDescent="0.3"/>
  <cols>
    <col min="1" max="1" width="12.33203125" customWidth="1"/>
    <col min="2" max="2" width="29.44140625" customWidth="1"/>
    <col min="3" max="3" width="11.44140625" customWidth="1"/>
    <col min="4" max="4" width="10.33203125" customWidth="1"/>
    <col min="5" max="5" width="12.5546875" bestFit="1" customWidth="1"/>
    <col min="6" max="6" width="11.33203125" bestFit="1" customWidth="1"/>
  </cols>
  <sheetData>
    <row r="1" spans="1:6" ht="27" customHeight="1" x14ac:dyDescent="0.5">
      <c r="A1" s="2" t="s">
        <v>0</v>
      </c>
    </row>
    <row r="2" spans="1:6" ht="18" customHeight="1" x14ac:dyDescent="0.35">
      <c r="A2" s="3" t="s">
        <v>1</v>
      </c>
    </row>
    <row r="3" spans="1:6" ht="18" customHeight="1" x14ac:dyDescent="0.35">
      <c r="A3" s="1" t="s">
        <v>65</v>
      </c>
    </row>
    <row r="4" spans="1:6" x14ac:dyDescent="0.3">
      <c r="E4" t="s">
        <v>25</v>
      </c>
      <c r="F4" t="s">
        <v>25</v>
      </c>
    </row>
    <row r="5" spans="1:6" x14ac:dyDescent="0.3">
      <c r="A5" s="4" t="s">
        <v>3</v>
      </c>
      <c r="B5" s="4" t="s">
        <v>4</v>
      </c>
      <c r="C5" s="4" t="s">
        <v>5</v>
      </c>
      <c r="D5" s="4" t="s">
        <v>6</v>
      </c>
      <c r="E5" s="4">
        <v>2022</v>
      </c>
      <c r="F5" s="4">
        <v>2023</v>
      </c>
    </row>
    <row r="6" spans="1:6" s="5" customFormat="1" x14ac:dyDescent="0.3">
      <c r="B6" s="5" t="s">
        <v>64</v>
      </c>
      <c r="C6" s="33">
        <f>SUM(C7:C11)</f>
        <v>184899</v>
      </c>
      <c r="D6" s="33">
        <v>32328</v>
      </c>
      <c r="E6" s="33">
        <v>170500</v>
      </c>
      <c r="F6" s="33">
        <f>SUM(F8:F11)</f>
        <v>118000</v>
      </c>
    </row>
    <row r="7" spans="1:6" x14ac:dyDescent="0.3">
      <c r="A7" s="5" t="s">
        <v>63</v>
      </c>
      <c r="B7" s="6" t="s">
        <v>62</v>
      </c>
      <c r="C7" s="19">
        <v>0</v>
      </c>
      <c r="D7" s="19">
        <v>0</v>
      </c>
      <c r="E7" s="35">
        <v>10000</v>
      </c>
      <c r="F7" s="13">
        <v>0</v>
      </c>
    </row>
    <row r="8" spans="1:6" x14ac:dyDescent="0.3">
      <c r="A8" s="6" t="s">
        <v>26</v>
      </c>
      <c r="B8" s="6" t="s">
        <v>31</v>
      </c>
      <c r="C8" s="19">
        <v>171270</v>
      </c>
      <c r="D8" s="19">
        <v>32328</v>
      </c>
      <c r="E8" s="13">
        <v>155000</v>
      </c>
      <c r="F8" s="13">
        <f>84000+20000</f>
        <v>104000</v>
      </c>
    </row>
    <row r="9" spans="1:6" x14ac:dyDescent="0.3">
      <c r="A9" s="6" t="s">
        <v>27</v>
      </c>
      <c r="B9" s="6" t="s">
        <v>32</v>
      </c>
      <c r="C9" s="19">
        <v>4528</v>
      </c>
      <c r="D9" s="19">
        <v>0</v>
      </c>
      <c r="E9" s="13">
        <v>1500</v>
      </c>
      <c r="F9" s="13">
        <v>5000</v>
      </c>
    </row>
    <row r="10" spans="1:6" x14ac:dyDescent="0.3">
      <c r="A10" s="6" t="s">
        <v>61</v>
      </c>
      <c r="B10" s="6" t="s">
        <v>33</v>
      </c>
      <c r="C10" s="19">
        <v>3200</v>
      </c>
      <c r="D10" s="19">
        <v>0</v>
      </c>
      <c r="E10" s="13">
        <v>4000</v>
      </c>
      <c r="F10" s="13">
        <v>5000</v>
      </c>
    </row>
    <row r="11" spans="1:6" x14ac:dyDescent="0.3">
      <c r="A11" s="6" t="s">
        <v>60</v>
      </c>
      <c r="B11" s="6" t="s">
        <v>59</v>
      </c>
      <c r="C11" s="19">
        <v>5901</v>
      </c>
      <c r="D11" s="19">
        <v>0</v>
      </c>
      <c r="E11" s="13">
        <v>0</v>
      </c>
      <c r="F11" s="13">
        <v>4000</v>
      </c>
    </row>
    <row r="12" spans="1:6" x14ac:dyDescent="0.3">
      <c r="A12" s="6"/>
      <c r="B12" s="5" t="s">
        <v>7</v>
      </c>
      <c r="C12" s="33">
        <f>SUM(C13:C15)</f>
        <v>11061.3</v>
      </c>
      <c r="D12" s="33">
        <f t="shared" ref="D12:F12" si="0">SUM(D13:D15)</f>
        <v>9230</v>
      </c>
      <c r="E12" s="33">
        <f t="shared" si="0"/>
        <v>0</v>
      </c>
      <c r="F12" s="33">
        <f t="shared" si="0"/>
        <v>16000</v>
      </c>
    </row>
    <row r="13" spans="1:6" x14ac:dyDescent="0.3">
      <c r="A13" s="6" t="s">
        <v>58</v>
      </c>
      <c r="B13" s="6" t="s">
        <v>57</v>
      </c>
      <c r="C13" s="19">
        <v>6850</v>
      </c>
      <c r="D13" s="19">
        <v>9230</v>
      </c>
      <c r="E13" s="13">
        <v>0</v>
      </c>
      <c r="F13" s="13">
        <v>10000</v>
      </c>
    </row>
    <row r="14" spans="1:6" x14ac:dyDescent="0.3">
      <c r="A14" s="6" t="s">
        <v>29</v>
      </c>
      <c r="B14" s="6" t="s">
        <v>56</v>
      </c>
      <c r="C14" s="19">
        <v>1695</v>
      </c>
      <c r="D14" s="19">
        <v>0</v>
      </c>
      <c r="E14" s="13">
        <v>0</v>
      </c>
      <c r="F14" s="13">
        <v>2000</v>
      </c>
    </row>
    <row r="15" spans="1:6" x14ac:dyDescent="0.3">
      <c r="A15" s="6" t="s">
        <v>30</v>
      </c>
      <c r="B15" s="12" t="s">
        <v>55</v>
      </c>
      <c r="C15" s="37">
        <v>2516.3000000000002</v>
      </c>
      <c r="D15" s="37">
        <v>0</v>
      </c>
      <c r="E15" s="14">
        <v>0</v>
      </c>
      <c r="F15" s="14">
        <v>4000</v>
      </c>
    </row>
    <row r="16" spans="1:6" x14ac:dyDescent="0.3">
      <c r="A16" s="7"/>
      <c r="B16" s="7" t="s">
        <v>10</v>
      </c>
      <c r="C16" s="15">
        <f>C6+C12+1</f>
        <v>195961.3</v>
      </c>
      <c r="D16" s="15">
        <f t="shared" ref="D16:E16" si="1">D6+D12</f>
        <v>41558</v>
      </c>
      <c r="E16" s="15">
        <f t="shared" si="1"/>
        <v>170500</v>
      </c>
      <c r="F16" s="15">
        <f>F6+F12</f>
        <v>134000</v>
      </c>
    </row>
    <row r="17" spans="1:10" x14ac:dyDescent="0.3">
      <c r="A17" s="38"/>
      <c r="B17" s="5" t="s">
        <v>136</v>
      </c>
      <c r="C17" s="39">
        <v>0</v>
      </c>
      <c r="D17" s="39">
        <v>0</v>
      </c>
      <c r="E17" s="39">
        <v>0</v>
      </c>
      <c r="F17" s="39">
        <v>0</v>
      </c>
    </row>
    <row r="18" spans="1:10" x14ac:dyDescent="0.3">
      <c r="A18" s="38"/>
      <c r="B18" s="5" t="s">
        <v>11</v>
      </c>
      <c r="C18" s="39">
        <f>SUM(C19:C20)</f>
        <v>0</v>
      </c>
      <c r="D18" s="39">
        <f t="shared" ref="D18:F18" si="2">SUM(D19:D20)</f>
        <v>0</v>
      </c>
      <c r="E18" s="39">
        <f t="shared" si="2"/>
        <v>0</v>
      </c>
      <c r="F18" s="39">
        <f t="shared" si="2"/>
        <v>15000</v>
      </c>
    </row>
    <row r="19" spans="1:10" x14ac:dyDescent="0.3">
      <c r="A19" s="6" t="s">
        <v>12</v>
      </c>
      <c r="B19" s="6" t="s">
        <v>13</v>
      </c>
      <c r="C19" s="19">
        <v>0</v>
      </c>
      <c r="D19" s="19">
        <v>0</v>
      </c>
      <c r="E19" s="13">
        <v>0</v>
      </c>
      <c r="F19" s="13"/>
    </row>
    <row r="20" spans="1:10" x14ac:dyDescent="0.3">
      <c r="A20" s="6" t="s">
        <v>36</v>
      </c>
      <c r="B20" s="6" t="s">
        <v>41</v>
      </c>
      <c r="C20" s="19">
        <v>0</v>
      </c>
      <c r="D20" s="19">
        <v>0</v>
      </c>
      <c r="E20" s="13">
        <v>0</v>
      </c>
      <c r="F20" s="13">
        <v>15000</v>
      </c>
    </row>
    <row r="21" spans="1:10" x14ac:dyDescent="0.3">
      <c r="A21" s="6"/>
      <c r="B21" s="5" t="s">
        <v>14</v>
      </c>
      <c r="C21" s="33">
        <f>SUM(C22:C33)</f>
        <v>159726.59</v>
      </c>
      <c r="D21" s="33">
        <f t="shared" ref="D21:F21" si="3">SUM(D22:D33)</f>
        <v>32355.7</v>
      </c>
      <c r="E21" s="33">
        <f t="shared" si="3"/>
        <v>183000</v>
      </c>
      <c r="F21" s="33">
        <f t="shared" si="3"/>
        <v>160500</v>
      </c>
    </row>
    <row r="22" spans="1:10" x14ac:dyDescent="0.3">
      <c r="A22" s="6" t="s">
        <v>15</v>
      </c>
      <c r="B22" s="6" t="s">
        <v>16</v>
      </c>
      <c r="C22" s="19">
        <v>134697.10999999999</v>
      </c>
      <c r="D22" s="19">
        <v>22477.7</v>
      </c>
      <c r="E22" s="13">
        <v>73000</v>
      </c>
      <c r="F22" s="13">
        <v>110000</v>
      </c>
    </row>
    <row r="23" spans="1:10" x14ac:dyDescent="0.3">
      <c r="A23" s="6" t="s">
        <v>54</v>
      </c>
      <c r="B23" s="6" t="s">
        <v>53</v>
      </c>
      <c r="C23" s="19">
        <v>4046</v>
      </c>
      <c r="D23" s="19">
        <v>0</v>
      </c>
      <c r="E23" s="13">
        <v>0</v>
      </c>
      <c r="F23" s="13">
        <v>5000</v>
      </c>
    </row>
    <row r="24" spans="1:10" x14ac:dyDescent="0.3">
      <c r="A24" s="6" t="s">
        <v>37</v>
      </c>
      <c r="B24" s="6" t="s">
        <v>40</v>
      </c>
      <c r="C24" s="19">
        <v>15000</v>
      </c>
      <c r="D24" s="19">
        <v>0</v>
      </c>
      <c r="E24" s="13">
        <v>0</v>
      </c>
      <c r="F24" s="13">
        <v>25000</v>
      </c>
    </row>
    <row r="25" spans="1:10" x14ac:dyDescent="0.3">
      <c r="A25" s="6" t="s">
        <v>17</v>
      </c>
      <c r="B25" s="6" t="s">
        <v>67</v>
      </c>
      <c r="C25" s="19">
        <v>0</v>
      </c>
      <c r="D25" s="19">
        <v>0</v>
      </c>
      <c r="E25" s="13">
        <v>0</v>
      </c>
      <c r="F25" s="13"/>
    </row>
    <row r="26" spans="1:10" x14ac:dyDescent="0.3">
      <c r="A26" s="6" t="s">
        <v>52</v>
      </c>
      <c r="B26" s="6" t="s">
        <v>51</v>
      </c>
      <c r="C26" s="19">
        <v>0</v>
      </c>
      <c r="D26" s="19">
        <v>2600</v>
      </c>
      <c r="E26" s="13">
        <v>0</v>
      </c>
      <c r="F26" s="13">
        <v>0</v>
      </c>
    </row>
    <row r="27" spans="1:10" x14ac:dyDescent="0.3">
      <c r="A27" s="6" t="s">
        <v>19</v>
      </c>
      <c r="B27" s="6" t="s">
        <v>50</v>
      </c>
      <c r="C27" s="19">
        <v>0</v>
      </c>
      <c r="D27" s="19">
        <v>0</v>
      </c>
      <c r="E27" s="13">
        <v>10000</v>
      </c>
      <c r="F27" s="13">
        <v>5000</v>
      </c>
    </row>
    <row r="28" spans="1:10" x14ac:dyDescent="0.3">
      <c r="A28" s="6" t="s">
        <v>49</v>
      </c>
      <c r="B28" s="6" t="s">
        <v>48</v>
      </c>
      <c r="C28" s="19">
        <v>2600</v>
      </c>
      <c r="D28" s="19">
        <v>0</v>
      </c>
      <c r="E28" s="13">
        <v>0</v>
      </c>
      <c r="F28" s="13">
        <v>0</v>
      </c>
      <c r="J28" s="5"/>
    </row>
    <row r="29" spans="1:10" x14ac:dyDescent="0.3">
      <c r="A29" s="6" t="s">
        <v>47</v>
      </c>
      <c r="B29" s="6" t="s">
        <v>46</v>
      </c>
      <c r="C29" s="19">
        <v>3250</v>
      </c>
      <c r="D29" s="19">
        <v>7250</v>
      </c>
      <c r="E29" s="13">
        <v>0</v>
      </c>
      <c r="F29" s="13">
        <v>4000</v>
      </c>
      <c r="J29" s="6"/>
    </row>
    <row r="30" spans="1:10" x14ac:dyDescent="0.3">
      <c r="A30" s="6" t="s">
        <v>38</v>
      </c>
      <c r="B30" s="6" t="s">
        <v>66</v>
      </c>
      <c r="C30" s="19">
        <v>0</v>
      </c>
      <c r="D30" s="19">
        <v>0</v>
      </c>
      <c r="E30" s="13">
        <v>0</v>
      </c>
      <c r="F30" s="13">
        <v>1500</v>
      </c>
      <c r="J30" s="6"/>
    </row>
    <row r="31" spans="1:10" x14ac:dyDescent="0.3">
      <c r="A31" s="6" t="s">
        <v>21</v>
      </c>
      <c r="B31" s="6" t="s">
        <v>22</v>
      </c>
      <c r="C31" s="19">
        <v>0</v>
      </c>
      <c r="D31" s="19">
        <v>0</v>
      </c>
      <c r="E31" s="13">
        <v>0</v>
      </c>
      <c r="F31" s="13">
        <v>10000</v>
      </c>
      <c r="J31" s="6"/>
    </row>
    <row r="32" spans="1:10" x14ac:dyDescent="0.3">
      <c r="A32" s="6" t="s">
        <v>45</v>
      </c>
      <c r="B32" s="6" t="s">
        <v>44</v>
      </c>
      <c r="C32" s="19">
        <v>133.47999999999999</v>
      </c>
      <c r="D32" s="19">
        <v>28</v>
      </c>
      <c r="E32" s="13">
        <v>0</v>
      </c>
      <c r="F32" s="13">
        <v>0</v>
      </c>
      <c r="J32" s="5"/>
    </row>
    <row r="33" spans="1:10" x14ac:dyDescent="0.3">
      <c r="A33" s="12" t="s">
        <v>43</v>
      </c>
      <c r="B33" s="12" t="s">
        <v>42</v>
      </c>
      <c r="C33" s="37">
        <v>0</v>
      </c>
      <c r="D33" s="37">
        <v>0</v>
      </c>
      <c r="E33" s="14">
        <v>100000</v>
      </c>
      <c r="F33" s="14">
        <v>0</v>
      </c>
      <c r="J33" s="6"/>
    </row>
    <row r="34" spans="1:10" x14ac:dyDescent="0.3">
      <c r="A34" s="7"/>
      <c r="B34" s="7" t="s">
        <v>23</v>
      </c>
      <c r="C34" s="16">
        <f t="shared" ref="C34:E34" si="4">C21+C18+C17</f>
        <v>159726.59</v>
      </c>
      <c r="D34" s="16">
        <f t="shared" si="4"/>
        <v>32355.7</v>
      </c>
      <c r="E34" s="16">
        <f t="shared" si="4"/>
        <v>183000</v>
      </c>
      <c r="F34" s="16">
        <f>F21+F18+F17</f>
        <v>175500</v>
      </c>
      <c r="J34" s="6"/>
    </row>
    <row r="35" spans="1:10" x14ac:dyDescent="0.3">
      <c r="A35" s="7"/>
      <c r="B35" s="7" t="s">
        <v>24</v>
      </c>
      <c r="C35" s="16">
        <f>C16-C34-1</f>
        <v>36233.709999999992</v>
      </c>
      <c r="D35" s="16">
        <f t="shared" ref="C35:E35" si="5">D16-D34</f>
        <v>9202.2999999999993</v>
      </c>
      <c r="E35" s="16">
        <f t="shared" si="5"/>
        <v>-12500</v>
      </c>
      <c r="F35" s="16">
        <f>F16-F34</f>
        <v>-41500</v>
      </c>
      <c r="J35" s="6"/>
    </row>
    <row r="36" spans="1:10" x14ac:dyDescent="0.3">
      <c r="J36" s="6"/>
    </row>
    <row r="37" spans="1:10" x14ac:dyDescent="0.3">
      <c r="J37" s="6"/>
    </row>
    <row r="38" spans="1:10" x14ac:dyDescent="0.3">
      <c r="J38" s="6"/>
    </row>
    <row r="39" spans="1:10" x14ac:dyDescent="0.3">
      <c r="J39" s="6"/>
    </row>
    <row r="40" spans="1:10" x14ac:dyDescent="0.3">
      <c r="J40" s="6"/>
    </row>
    <row r="41" spans="1:10" x14ac:dyDescent="0.3">
      <c r="J41" s="5"/>
    </row>
  </sheetData>
  <sheetProtection algorithmName="SHA-512" hashValue="kx49HOrSE+p4HlvhuQwthnL9iSuldM7DPZP4rGcdVFhPFCkzgBISOEWmbK340WP+2KqqE/B5QJ4uMdQq5dPEmw==" saltValue="10kluMgkyEPwqppjYThqEg==" spinCount="100000" sheet="1" objects="1" scenarios="1"/>
  <pageMargins left="0.75" right="0.75" top="0.75" bottom="0.5" header="0.5" footer="0.7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pane ySplit="5" topLeftCell="A6" activePane="bottomLeft" state="frozenSplit"/>
      <selection pane="bottomLeft" activeCell="L1" sqref="L1"/>
    </sheetView>
  </sheetViews>
  <sheetFormatPr baseColWidth="10" defaultColWidth="8.88671875" defaultRowHeight="14.4" x14ac:dyDescent="0.3"/>
  <cols>
    <col min="1" max="1" width="20.109375" customWidth="1"/>
    <col min="2" max="2" width="32.77734375" customWidth="1"/>
    <col min="3" max="3" width="10.33203125" style="13" customWidth="1"/>
    <col min="4" max="4" width="6.109375" style="13" customWidth="1"/>
    <col min="5" max="5" width="9.33203125" style="13" bestFit="1" customWidth="1"/>
    <col min="6" max="6" width="11.44140625" style="13" bestFit="1" customWidth="1"/>
  </cols>
  <sheetData>
    <row r="1" spans="1:6" ht="27" customHeight="1" x14ac:dyDescent="0.5">
      <c r="A1" s="2" t="s">
        <v>0</v>
      </c>
    </row>
    <row r="2" spans="1:6" ht="18" customHeight="1" x14ac:dyDescent="0.35">
      <c r="A2" s="3" t="s">
        <v>1</v>
      </c>
    </row>
    <row r="3" spans="1:6" ht="18" customHeight="1" x14ac:dyDescent="0.35">
      <c r="A3" s="1" t="s">
        <v>2</v>
      </c>
    </row>
    <row r="4" spans="1:6" x14ac:dyDescent="0.3">
      <c r="E4" s="18" t="s">
        <v>25</v>
      </c>
      <c r="F4" s="18" t="s">
        <v>25</v>
      </c>
    </row>
    <row r="5" spans="1:6" x14ac:dyDescent="0.3">
      <c r="A5" s="4" t="s">
        <v>3</v>
      </c>
      <c r="B5" s="4" t="s">
        <v>4</v>
      </c>
      <c r="C5" s="18" t="s">
        <v>5</v>
      </c>
      <c r="D5" s="18" t="s">
        <v>6</v>
      </c>
      <c r="E5" s="18">
        <v>2022</v>
      </c>
      <c r="F5" s="18">
        <v>2023</v>
      </c>
    </row>
    <row r="6" spans="1:6" x14ac:dyDescent="0.3">
      <c r="A6" s="6" t="s">
        <v>26</v>
      </c>
      <c r="B6" t="s">
        <v>31</v>
      </c>
      <c r="C6" s="19">
        <v>0</v>
      </c>
      <c r="D6" s="19">
        <v>0</v>
      </c>
      <c r="E6" s="13">
        <v>0</v>
      </c>
      <c r="F6" s="13">
        <v>84000</v>
      </c>
    </row>
    <row r="7" spans="1:6" x14ac:dyDescent="0.3">
      <c r="A7" s="6" t="s">
        <v>27</v>
      </c>
      <c r="B7" t="s">
        <v>32</v>
      </c>
      <c r="C7" s="19">
        <v>0</v>
      </c>
      <c r="D7" s="19">
        <v>0</v>
      </c>
      <c r="E7" s="13">
        <v>0</v>
      </c>
      <c r="F7" s="13">
        <v>7000</v>
      </c>
    </row>
    <row r="8" spans="1:6" x14ac:dyDescent="0.3">
      <c r="A8" s="10" t="s">
        <v>28</v>
      </c>
      <c r="B8" t="s">
        <v>33</v>
      </c>
      <c r="C8" s="19">
        <v>0</v>
      </c>
      <c r="D8" s="19">
        <v>0</v>
      </c>
      <c r="E8" s="13">
        <v>0</v>
      </c>
      <c r="F8" s="13">
        <v>9000</v>
      </c>
    </row>
    <row r="9" spans="1:6" x14ac:dyDescent="0.3">
      <c r="A9" s="11" t="s">
        <v>29</v>
      </c>
      <c r="B9" s="6" t="s">
        <v>34</v>
      </c>
      <c r="C9" s="19">
        <v>0</v>
      </c>
      <c r="D9" s="19">
        <v>0</v>
      </c>
      <c r="E9" s="13">
        <v>0</v>
      </c>
      <c r="F9" s="13">
        <v>9000</v>
      </c>
    </row>
    <row r="10" spans="1:6" x14ac:dyDescent="0.3">
      <c r="A10" s="11" t="s">
        <v>30</v>
      </c>
      <c r="B10" s="6" t="s">
        <v>35</v>
      </c>
      <c r="C10" s="19">
        <v>0</v>
      </c>
      <c r="D10" s="19">
        <v>0</v>
      </c>
      <c r="E10" s="13">
        <v>0</v>
      </c>
      <c r="F10" s="13">
        <v>4500</v>
      </c>
    </row>
    <row r="11" spans="1:6" x14ac:dyDescent="0.3">
      <c r="A11" s="6" t="s">
        <v>8</v>
      </c>
      <c r="B11" s="6" t="s">
        <v>9</v>
      </c>
      <c r="C11" s="19">
        <v>2000</v>
      </c>
      <c r="D11" s="19">
        <v>0</v>
      </c>
      <c r="E11" s="13">
        <v>0</v>
      </c>
      <c r="F11" s="13">
        <v>0</v>
      </c>
    </row>
    <row r="12" spans="1:6" x14ac:dyDescent="0.3">
      <c r="A12" s="7"/>
      <c r="B12" s="7" t="s">
        <v>10</v>
      </c>
      <c r="C12" s="34">
        <v>2000</v>
      </c>
      <c r="D12" s="34">
        <v>0</v>
      </c>
      <c r="E12" s="16">
        <v>0</v>
      </c>
      <c r="F12" s="16">
        <f>SUM(F6:F11)</f>
        <v>113500</v>
      </c>
    </row>
    <row r="13" spans="1:6" x14ac:dyDescent="0.3">
      <c r="A13" s="6" t="s">
        <v>12</v>
      </c>
      <c r="B13" s="6" t="s">
        <v>13</v>
      </c>
      <c r="C13" s="19">
        <v>26600</v>
      </c>
      <c r="D13" s="19">
        <v>0</v>
      </c>
      <c r="E13" s="13">
        <v>0</v>
      </c>
      <c r="F13" s="13">
        <v>90000</v>
      </c>
    </row>
    <row r="14" spans="1:6" x14ac:dyDescent="0.3">
      <c r="A14" s="6" t="s">
        <v>36</v>
      </c>
      <c r="B14" s="6" t="s">
        <v>41</v>
      </c>
      <c r="C14" s="19">
        <v>0</v>
      </c>
      <c r="D14" s="19">
        <v>0</v>
      </c>
      <c r="E14" s="13">
        <v>0</v>
      </c>
      <c r="F14" s="13">
        <v>15000</v>
      </c>
    </row>
    <row r="15" spans="1:6" x14ac:dyDescent="0.3">
      <c r="A15" s="6" t="s">
        <v>15</v>
      </c>
      <c r="B15" s="6" t="s">
        <v>16</v>
      </c>
      <c r="C15" s="19">
        <v>21000</v>
      </c>
      <c r="D15" s="19">
        <v>0</v>
      </c>
      <c r="E15" s="13">
        <v>0</v>
      </c>
      <c r="F15" s="13">
        <v>20000</v>
      </c>
    </row>
    <row r="16" spans="1:6" x14ac:dyDescent="0.3">
      <c r="A16" s="6" t="s">
        <v>37</v>
      </c>
      <c r="B16" s="6" t="s">
        <v>40</v>
      </c>
      <c r="C16" s="19">
        <v>0</v>
      </c>
      <c r="D16" s="19">
        <v>0</v>
      </c>
      <c r="E16" s="13">
        <v>0</v>
      </c>
      <c r="F16" s="13">
        <v>23500</v>
      </c>
    </row>
    <row r="17" spans="1:6" x14ac:dyDescent="0.3">
      <c r="A17" s="6" t="s">
        <v>17</v>
      </c>
      <c r="B17" s="6" t="s">
        <v>18</v>
      </c>
      <c r="C17" s="19">
        <v>1172.5</v>
      </c>
      <c r="D17" s="19">
        <v>0</v>
      </c>
      <c r="E17" s="13">
        <v>0</v>
      </c>
      <c r="F17" s="13">
        <v>4000</v>
      </c>
    </row>
    <row r="18" spans="1:6" x14ac:dyDescent="0.3">
      <c r="A18" s="6" t="s">
        <v>19</v>
      </c>
      <c r="B18" s="6" t="s">
        <v>20</v>
      </c>
      <c r="C18" s="19">
        <v>600</v>
      </c>
      <c r="D18" s="19">
        <v>0</v>
      </c>
      <c r="E18" s="13">
        <v>0</v>
      </c>
      <c r="F18" s="13">
        <v>1000</v>
      </c>
    </row>
    <row r="19" spans="1:6" x14ac:dyDescent="0.3">
      <c r="A19" s="6" t="s">
        <v>38</v>
      </c>
      <c r="B19" s="6" t="s">
        <v>39</v>
      </c>
      <c r="C19" s="19">
        <v>0</v>
      </c>
      <c r="D19" s="19">
        <v>0</v>
      </c>
      <c r="E19" s="13">
        <v>0</v>
      </c>
      <c r="F19" s="13">
        <v>1500</v>
      </c>
    </row>
    <row r="20" spans="1:6" x14ac:dyDescent="0.3">
      <c r="A20" s="6" t="s">
        <v>21</v>
      </c>
      <c r="B20" s="6" t="s">
        <v>22</v>
      </c>
      <c r="C20" s="19">
        <v>810.37</v>
      </c>
      <c r="D20" s="19">
        <v>0</v>
      </c>
      <c r="E20" s="13">
        <v>0</v>
      </c>
      <c r="F20" s="13">
        <v>3000</v>
      </c>
    </row>
    <row r="21" spans="1:6" x14ac:dyDescent="0.3">
      <c r="A21" s="7"/>
      <c r="B21" s="7" t="s">
        <v>23</v>
      </c>
      <c r="C21" s="34">
        <v>50182.87</v>
      </c>
      <c r="D21" s="34">
        <v>0</v>
      </c>
      <c r="E21" s="16">
        <v>0</v>
      </c>
      <c r="F21" s="16">
        <f>SUM(F13:F20)</f>
        <v>158000</v>
      </c>
    </row>
    <row r="22" spans="1:6" x14ac:dyDescent="0.3">
      <c r="A22" s="7"/>
      <c r="B22" s="7" t="s">
        <v>24</v>
      </c>
      <c r="C22" s="34">
        <v>-48182.87</v>
      </c>
      <c r="D22" s="34">
        <v>0</v>
      </c>
      <c r="E22" s="16">
        <v>0</v>
      </c>
      <c r="F22" s="16">
        <f>F12-F21</f>
        <v>-44500</v>
      </c>
    </row>
  </sheetData>
  <sheetProtection algorithmName="SHA-512" hashValue="cJIvSymk0rv/HvsfsuUJeYbfE4kL+ODPB08/9Yph4XCAnX3ILnfoWA8sJFAnRTWqxsnms7fBmAcZDWKZgo+05g==" saltValue="1LsWY3kQ0T1QXrWjAxeWpg==" spinCount="100000" sheet="1" objects="1" scenarios="1"/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Totalregnskap</vt:lpstr>
      <vt:lpstr>Balanse 31.12.22</vt:lpstr>
      <vt:lpstr>Styret avd 10</vt:lpstr>
      <vt:lpstr>Turn avd 20</vt:lpstr>
      <vt:lpstr>Håndball avd 30</vt:lpstr>
      <vt:lpstr>fotball avd 40</vt:lpstr>
      <vt:lpstr>Aerobic avd 50</vt:lpstr>
      <vt:lpstr>Hallen avd 60</vt:lpstr>
      <vt:lpstr>O og trim avd 70</vt:lpstr>
      <vt:lpstr>Sykkel avd 80</vt:lpstr>
      <vt:lpstr>Dans avd 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Sissel Smedby</dc:creator>
  <cp:lastModifiedBy>Sissel Smedby</cp:lastModifiedBy>
  <cp:lastPrinted>2023-03-14T13:49:28Z</cp:lastPrinted>
  <dcterms:created xsi:type="dcterms:W3CDTF">2023-03-02T13:44:34Z</dcterms:created>
  <dcterms:modified xsi:type="dcterms:W3CDTF">2023-03-14T15:31:40Z</dcterms:modified>
</cp:coreProperties>
</file>