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sel Smedby\Documents\RIL Hovedstyret\2022\Årsmøte\Enderlig godkjente dok til årsmøte\"/>
    </mc:Choice>
  </mc:AlternateContent>
  <xr:revisionPtr revIDLastSave="0" documentId="13_ncr:1_{44AFD367-32B5-43D6-AFA0-75558E6BCE88}" xr6:coauthVersionLast="47" xr6:coauthVersionMax="47" xr10:uidLastSave="{00000000-0000-0000-0000-000000000000}"/>
  <bookViews>
    <workbookView xWindow="-108" yWindow="-108" windowWidth="23256" windowHeight="12456" activeTab="1" xr2:uid="{DA916388-812F-46DE-B53A-AB5A5B2999CE}"/>
  </bookViews>
  <sheets>
    <sheet name="Totalregnskap" sheetId="16" r:id="rId1"/>
    <sheet name="Prosjektregnskap totalt" sheetId="14" r:id="rId2"/>
  </sheets>
  <definedNames>
    <definedName name="iv" localSheetId="0">Totalregnskap!$R$48</definedName>
    <definedName name="iv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5" i="16" l="1"/>
  <c r="K82" i="16"/>
  <c r="K80" i="16"/>
  <c r="K84" i="16" s="1"/>
  <c r="N77" i="16"/>
  <c r="K77" i="16"/>
  <c r="G73" i="16"/>
  <c r="C73" i="16"/>
  <c r="N72" i="16"/>
  <c r="N78" i="16" s="1"/>
  <c r="K70" i="16"/>
  <c r="G65" i="16"/>
  <c r="G67" i="16" s="1"/>
  <c r="C65" i="16" s="1"/>
  <c r="K61" i="16"/>
  <c r="G59" i="16"/>
  <c r="K57" i="16"/>
  <c r="C57" i="16"/>
  <c r="C60" i="16" s="1"/>
  <c r="C62" i="16" s="1"/>
  <c r="G56" i="16"/>
  <c r="G60" i="16" s="1"/>
  <c r="G62" i="16" s="1"/>
  <c r="N55" i="16"/>
  <c r="G47" i="16"/>
  <c r="C47" i="16"/>
  <c r="K41" i="16"/>
  <c r="K48" i="16" s="1"/>
  <c r="N40" i="16"/>
  <c r="G40" i="16"/>
  <c r="C40" i="16"/>
  <c r="N39" i="16"/>
  <c r="N37" i="16"/>
  <c r="G37" i="16"/>
  <c r="E37" i="16"/>
  <c r="G35" i="16"/>
  <c r="E35" i="16"/>
  <c r="C35" i="16"/>
  <c r="N31" i="16"/>
  <c r="N34" i="16" s="1"/>
  <c r="I31" i="16"/>
  <c r="G31" i="16"/>
  <c r="E31" i="16"/>
  <c r="E41" i="16" s="1"/>
  <c r="C31" i="16"/>
  <c r="C41" i="16" s="1"/>
  <c r="E29" i="16"/>
  <c r="K28" i="16"/>
  <c r="I41" i="16"/>
  <c r="G28" i="16"/>
  <c r="E28" i="16"/>
  <c r="C28" i="16"/>
  <c r="N27" i="16"/>
  <c r="G27" i="16"/>
  <c r="E27" i="16"/>
  <c r="C27" i="16"/>
  <c r="G26" i="16"/>
  <c r="G41" i="16" s="1"/>
  <c r="I20" i="16"/>
  <c r="G20" i="16"/>
  <c r="E20" i="16"/>
  <c r="G19" i="16"/>
  <c r="C19" i="16"/>
  <c r="C20" i="16" s="1"/>
  <c r="C22" i="16" s="1"/>
  <c r="N17" i="16"/>
  <c r="N16" i="16"/>
  <c r="K14" i="16"/>
  <c r="N13" i="16"/>
  <c r="G13" i="16"/>
  <c r="E13" i="16"/>
  <c r="E22" i="16" s="1"/>
  <c r="E43" i="16" s="1"/>
  <c r="C13" i="16"/>
  <c r="I11" i="16"/>
  <c r="I13" i="16" s="1"/>
  <c r="C11" i="16"/>
  <c r="C10" i="16"/>
  <c r="G8" i="16"/>
  <c r="G22" i="16" s="1"/>
  <c r="G43" i="16" s="1"/>
  <c r="G49" i="16" s="1"/>
  <c r="E8" i="16"/>
  <c r="C8" i="16"/>
  <c r="C7" i="16"/>
  <c r="I8" i="16"/>
  <c r="F22" i="14"/>
  <c r="I22" i="16" l="1"/>
  <c r="I43" i="16" s="1"/>
  <c r="C43" i="16"/>
  <c r="C49" i="16" s="1"/>
  <c r="C66" i="16" s="1"/>
  <c r="C67" i="16" s="1"/>
  <c r="C75" i="16" s="1"/>
  <c r="A23" i="16"/>
  <c r="J16" i="14" l="1"/>
  <c r="J20" i="14"/>
  <c r="J13" i="14"/>
  <c r="V16" i="14"/>
  <c r="Q36" i="14"/>
  <c r="F16" i="14"/>
  <c r="F25" i="14"/>
  <c r="Q28" i="14"/>
  <c r="Q30" i="14" s="1"/>
  <c r="Q10" i="14"/>
  <c r="Q13" i="14" s="1"/>
  <c r="Q21" i="14"/>
  <c r="Q23" i="14" s="1"/>
  <c r="U32" i="14" l="1"/>
  <c r="I39" i="14"/>
  <c r="N38" i="14"/>
  <c r="M38" i="14"/>
  <c r="L38" i="14"/>
  <c r="M37" i="14"/>
  <c r="L37" i="14"/>
  <c r="F37" i="14"/>
  <c r="N37" i="14" s="1"/>
  <c r="M36" i="14"/>
  <c r="H36" i="14"/>
  <c r="L36" i="14" s="1"/>
  <c r="F36" i="14"/>
  <c r="N36" i="14" s="1"/>
  <c r="N35" i="14"/>
  <c r="M35" i="14"/>
  <c r="L35" i="14"/>
  <c r="N34" i="14"/>
  <c r="M34" i="14"/>
  <c r="L34" i="14"/>
  <c r="N33" i="14"/>
  <c r="M33" i="14"/>
  <c r="L33" i="14"/>
  <c r="N32" i="14"/>
  <c r="M32" i="14"/>
  <c r="L32" i="14"/>
  <c r="N31" i="14"/>
  <c r="M31" i="14"/>
  <c r="L31" i="14"/>
  <c r="N30" i="14"/>
  <c r="M30" i="14"/>
  <c r="L30" i="14"/>
  <c r="M29" i="14"/>
  <c r="J29" i="14"/>
  <c r="N29" i="14" s="1"/>
  <c r="H29" i="14"/>
  <c r="L29" i="14" s="1"/>
  <c r="M28" i="14"/>
  <c r="J28" i="14"/>
  <c r="N28" i="14" s="1"/>
  <c r="H28" i="14"/>
  <c r="L28" i="14" s="1"/>
  <c r="M27" i="14"/>
  <c r="L27" i="14"/>
  <c r="F27" i="14"/>
  <c r="N27" i="14" s="1"/>
  <c r="M26" i="14"/>
  <c r="L26" i="14"/>
  <c r="N26" i="14"/>
  <c r="M25" i="14"/>
  <c r="H25" i="14"/>
  <c r="L25" i="14" s="1"/>
  <c r="M24" i="14"/>
  <c r="L24" i="14"/>
  <c r="J24" i="14"/>
  <c r="N24" i="14" s="1"/>
  <c r="H23" i="14"/>
  <c r="L23" i="14" s="1"/>
  <c r="F23" i="14"/>
  <c r="N23" i="14" s="1"/>
  <c r="E23" i="14"/>
  <c r="M23" i="14" s="1"/>
  <c r="M22" i="14"/>
  <c r="H22" i="14"/>
  <c r="L22" i="14" s="1"/>
  <c r="M21" i="14"/>
  <c r="N21" i="14"/>
  <c r="H21" i="14"/>
  <c r="L21" i="14" s="1"/>
  <c r="M20" i="14"/>
  <c r="N20" i="14"/>
  <c r="H20" i="14"/>
  <c r="L20" i="14" s="1"/>
  <c r="M19" i="14"/>
  <c r="L19" i="14"/>
  <c r="F19" i="14"/>
  <c r="N19" i="14" s="1"/>
  <c r="M18" i="14"/>
  <c r="L18" i="14"/>
  <c r="F18" i="14"/>
  <c r="N18" i="14" s="1"/>
  <c r="M17" i="14"/>
  <c r="L17" i="14"/>
  <c r="F17" i="14"/>
  <c r="N17" i="14" s="1"/>
  <c r="M16" i="14"/>
  <c r="L16" i="14"/>
  <c r="N16" i="14"/>
  <c r="M15" i="14"/>
  <c r="L15" i="14"/>
  <c r="F15" i="14"/>
  <c r="N15" i="14" s="1"/>
  <c r="M14" i="14"/>
  <c r="H14" i="14"/>
  <c r="L14" i="14" s="1"/>
  <c r="F14" i="14"/>
  <c r="N14" i="14" s="1"/>
  <c r="M13" i="14"/>
  <c r="H13" i="14"/>
  <c r="L13" i="14" s="1"/>
  <c r="M12" i="14"/>
  <c r="H12" i="14"/>
  <c r="L12" i="14" s="1"/>
  <c r="F12" i="14"/>
  <c r="N12" i="14" s="1"/>
  <c r="M11" i="14"/>
  <c r="H11" i="14"/>
  <c r="L11" i="14" s="1"/>
  <c r="F11" i="14"/>
  <c r="N11" i="14" s="1"/>
  <c r="M10" i="14"/>
  <c r="J10" i="14"/>
  <c r="N10" i="14" s="1"/>
  <c r="H10" i="14"/>
  <c r="L10" i="14" s="1"/>
  <c r="M9" i="14"/>
  <c r="J9" i="14"/>
  <c r="N9" i="14" s="1"/>
  <c r="H9" i="14"/>
  <c r="L9" i="14" s="1"/>
  <c r="M8" i="14"/>
  <c r="J8" i="14"/>
  <c r="N8" i="14" s="1"/>
  <c r="H8" i="14"/>
  <c r="M7" i="14"/>
  <c r="F7" i="14"/>
  <c r="N7" i="14" s="1"/>
  <c r="D7" i="14"/>
  <c r="L7" i="14" s="1"/>
  <c r="M6" i="14"/>
  <c r="F6" i="14"/>
  <c r="N6" i="14" s="1"/>
  <c r="D6" i="14"/>
  <c r="M5" i="14"/>
  <c r="L5" i="14"/>
  <c r="F5" i="14"/>
  <c r="N25" i="14" l="1"/>
  <c r="N22" i="14"/>
  <c r="N13" i="14"/>
  <c r="F39" i="14"/>
  <c r="H39" i="14"/>
  <c r="M39" i="14"/>
  <c r="J39" i="14"/>
  <c r="N5" i="14"/>
  <c r="D39" i="14"/>
  <c r="L6" i="14"/>
  <c r="E39" i="14"/>
  <c r="L8" i="14"/>
  <c r="N39" i="14" l="1"/>
  <c r="L39" i="14"/>
  <c r="N18" i="16" l="1"/>
</calcChain>
</file>

<file path=xl/sharedStrings.xml><?xml version="1.0" encoding="utf-8"?>
<sst xmlns="http://schemas.openxmlformats.org/spreadsheetml/2006/main" count="301" uniqueCount="270">
  <si>
    <t>Resultatregnskap</t>
  </si>
  <si>
    <t>Regnskap</t>
  </si>
  <si>
    <t xml:space="preserve">Budsjett </t>
  </si>
  <si>
    <t>Inntekter</t>
  </si>
  <si>
    <t>Noter</t>
  </si>
  <si>
    <t>Sponsor</t>
  </si>
  <si>
    <t xml:space="preserve">Salg- og støtte </t>
  </si>
  <si>
    <t>Offentlige tilskudd</t>
  </si>
  <si>
    <t>Leieinntekt</t>
  </si>
  <si>
    <t>Medlems kont</t>
  </si>
  <si>
    <t>Aktivitets avg</t>
  </si>
  <si>
    <t>Egenadel</t>
  </si>
  <si>
    <t>Andre inntekter</t>
  </si>
  <si>
    <t>Sum inntekter</t>
  </si>
  <si>
    <t>Resultet</t>
  </si>
  <si>
    <t>Budsjett</t>
  </si>
  <si>
    <t>Kostnader</t>
  </si>
  <si>
    <t>Sosiale kostnader</t>
  </si>
  <si>
    <t>Salgskostnader</t>
  </si>
  <si>
    <t>Leiekostnader</t>
  </si>
  <si>
    <t>Humleby ute og inne</t>
  </si>
  <si>
    <t>Bjøråsen</t>
  </si>
  <si>
    <t>Forsikring</t>
  </si>
  <si>
    <t>Tap</t>
  </si>
  <si>
    <t>Andre kostnader</t>
  </si>
  <si>
    <t>SUM</t>
  </si>
  <si>
    <t>Driftsresultat</t>
  </si>
  <si>
    <t>Rente og gebyr kostn</t>
  </si>
  <si>
    <t xml:space="preserve"> </t>
  </si>
  <si>
    <t>Sum Finanskostnader</t>
  </si>
  <si>
    <t>EIENDELER</t>
  </si>
  <si>
    <t>OMLØPSMIDLER</t>
  </si>
  <si>
    <t>Fordringer</t>
  </si>
  <si>
    <t>Kontanter</t>
  </si>
  <si>
    <t>Bank</t>
  </si>
  <si>
    <t>SUM OMLØPSMIDLER</t>
  </si>
  <si>
    <t>SUM EIENDELER</t>
  </si>
  <si>
    <t>GJELD OG EGENKAPITAL</t>
  </si>
  <si>
    <t>Opptjent egenkapital</t>
  </si>
  <si>
    <t>Gjeld</t>
  </si>
  <si>
    <t>Kortsiktig gjeld</t>
  </si>
  <si>
    <t>Leverandørgjeld</t>
  </si>
  <si>
    <t>Sum gjeld</t>
  </si>
  <si>
    <t>SUM TOTALKAPITAL</t>
  </si>
  <si>
    <t>Stevneinntekter og utstyr</t>
  </si>
  <si>
    <t>Lotteri og Grasrot</t>
  </si>
  <si>
    <t>Lam og hodestøtte</t>
  </si>
  <si>
    <t>Mva komp</t>
  </si>
  <si>
    <t>Drift støtte /tilskudd</t>
  </si>
  <si>
    <t>Arrangement</t>
  </si>
  <si>
    <t>Økonomisk og juridisk bistand</t>
  </si>
  <si>
    <t>trening-kamp-cup,-kostn</t>
  </si>
  <si>
    <t>Idrettsutstyr</t>
  </si>
  <si>
    <t>Programvarer</t>
  </si>
  <si>
    <t>Morten Busch</t>
  </si>
  <si>
    <t>Leder kontrollkomite /s</t>
  </si>
  <si>
    <t>Sissel Smeby</t>
  </si>
  <si>
    <t>Styremedlem  / s</t>
  </si>
  <si>
    <t>Espen Dalen</t>
  </si>
  <si>
    <t>Leder / s</t>
  </si>
  <si>
    <t>Nestleder  / s</t>
  </si>
  <si>
    <t>Elene M. Håkonsen-Løkken</t>
  </si>
  <si>
    <t>Andre intekter</t>
  </si>
  <si>
    <t>Adm kostnader og styrehonorar</t>
  </si>
  <si>
    <t>Forskud- og påløpte betalinger</t>
  </si>
  <si>
    <t>Note 2 Driftstøtte / tilskudd</t>
  </si>
  <si>
    <t>Fotball</t>
  </si>
  <si>
    <t>Håndball</t>
  </si>
  <si>
    <t>Note 9 Andre kostnader</t>
  </si>
  <si>
    <t>Turn</t>
  </si>
  <si>
    <t>Div</t>
  </si>
  <si>
    <t>Note 4, Trening-kamp-cup,-kostn</t>
  </si>
  <si>
    <t>Dommerhonorar</t>
  </si>
  <si>
    <t>Påmeldinger</t>
  </si>
  <si>
    <t>Note 6, Humleby inne og ute, +</t>
  </si>
  <si>
    <t>Note 12, Forpliktelse</t>
  </si>
  <si>
    <t>Rest Ullmax fond (håndball)</t>
  </si>
  <si>
    <t>Renovasjon</t>
  </si>
  <si>
    <t>Note 13, Kortsiktig gjeld</t>
  </si>
  <si>
    <t>Nabolagsklubb</t>
  </si>
  <si>
    <t>NHF</t>
  </si>
  <si>
    <t>Barteravtale (Håndball)</t>
  </si>
  <si>
    <t xml:space="preserve">Note 1 Sponsorer </t>
  </si>
  <si>
    <t>Finnansinntekter /kostnader</t>
  </si>
  <si>
    <t>2020</t>
  </si>
  <si>
    <t>2021</t>
  </si>
  <si>
    <t>ÅRSRESULTAT/overskudd</t>
  </si>
  <si>
    <t>Janne Tyrhaug</t>
  </si>
  <si>
    <t>Subeegan Ratnakumaer</t>
  </si>
  <si>
    <t xml:space="preserve">Varer på lager  </t>
  </si>
  <si>
    <t>Egenkapital</t>
  </si>
  <si>
    <t>Leder</t>
  </si>
  <si>
    <t>Øvrige</t>
  </si>
  <si>
    <t>Kontollkomite</t>
  </si>
  <si>
    <t>Årets resultat</t>
  </si>
  <si>
    <t>Korrigering av gammelt</t>
  </si>
  <si>
    <t>Vipps/Paypall håndball kiosk</t>
  </si>
  <si>
    <t>Vipps fotball kiosk</t>
  </si>
  <si>
    <t>Vipps fotball utstyr</t>
  </si>
  <si>
    <t>Vipps turn kiosk</t>
  </si>
  <si>
    <t>Vipps turn utstyr</t>
  </si>
  <si>
    <t>Vipps hovedstyre</t>
  </si>
  <si>
    <t>Sparebankstiftelsen turn</t>
  </si>
  <si>
    <t>2 overgsanger fotball</t>
  </si>
  <si>
    <t>Refusjon Bama</t>
  </si>
  <si>
    <t>Aktivitetsavgift Aerobic</t>
  </si>
  <si>
    <t>Aktivitetsavgift fotball</t>
  </si>
  <si>
    <t>Aktivitetsavgift håndball</t>
  </si>
  <si>
    <t>Hovedstyret</t>
  </si>
  <si>
    <t>Uidentifisert inntekt</t>
  </si>
  <si>
    <t>OBOS, driftstøtte</t>
  </si>
  <si>
    <t>Sparebankstiftelsen</t>
  </si>
  <si>
    <t>Inkluderingsmidler</t>
  </si>
  <si>
    <t>Komunalt bidrag</t>
  </si>
  <si>
    <t>Futsal</t>
  </si>
  <si>
    <t>Ekstrastøtte mva</t>
  </si>
  <si>
    <t>Zuccerellastiftelsen</t>
  </si>
  <si>
    <t>Håndball jenter, Kinsbakken</t>
  </si>
  <si>
    <t>Honorar, trenere lagleder.</t>
  </si>
  <si>
    <t>drift, åpen hall, Aks etc</t>
  </si>
  <si>
    <t>Bilgodtgjørelse</t>
  </si>
  <si>
    <t>Aerobic</t>
  </si>
  <si>
    <t>Sykkel</t>
  </si>
  <si>
    <t>Hovdlaget</t>
  </si>
  <si>
    <t>Skap, beis/maling etc</t>
  </si>
  <si>
    <t>Verktøy, skobørster, stativ</t>
  </si>
  <si>
    <t>Rom, lamper, strøm, nøkler</t>
  </si>
  <si>
    <t>Hovedstyre</t>
  </si>
  <si>
    <t>Hallen</t>
  </si>
  <si>
    <t>Note 7, Forsikringer</t>
  </si>
  <si>
    <t>Forsikringer /lisenser fotball</t>
  </si>
  <si>
    <t>Klubhuset/eiendeler i hele RIL 2021</t>
  </si>
  <si>
    <t>Klubhuset/eiendeler i hele RIL 2022</t>
  </si>
  <si>
    <t>Note 5, Drakter og idrettsutstyr</t>
  </si>
  <si>
    <t>Idretsfaglig bistand</t>
  </si>
  <si>
    <t>Hjertestartere</t>
  </si>
  <si>
    <t>Møter og kurs</t>
  </si>
  <si>
    <t>Medlemskontingent</t>
  </si>
  <si>
    <t>Lisenser</t>
  </si>
  <si>
    <t>Årsavgifter, korrigeringer, div.</t>
  </si>
  <si>
    <t>Note 10, varer på lager (håndball)</t>
  </si>
  <si>
    <t>152 hettegensere</t>
  </si>
  <si>
    <t>20 jakker</t>
  </si>
  <si>
    <t>Mineralvann</t>
  </si>
  <si>
    <t>div kiosklvarer</t>
  </si>
  <si>
    <t>Note 11, 1500 fordring</t>
  </si>
  <si>
    <t>Note 12, 1750 påløpte inntekter</t>
  </si>
  <si>
    <t>Learn håndball</t>
  </si>
  <si>
    <t>Rema 1000</t>
  </si>
  <si>
    <t>Norgesgruppen</t>
  </si>
  <si>
    <t>Regnskap NIF</t>
  </si>
  <si>
    <t>Oslo Sportslager (håndball)</t>
  </si>
  <si>
    <t>Sportsforeningen Grei  (Fotball)</t>
  </si>
  <si>
    <t>Torshov Sport  (Fotball)</t>
  </si>
  <si>
    <t>Tripletex</t>
  </si>
  <si>
    <t>Alle skal med</t>
  </si>
  <si>
    <t>Nabolagsklubb rest 2021</t>
  </si>
  <si>
    <t>Nabolagsklubb  2022</t>
  </si>
  <si>
    <t>Forskudstrekk</t>
  </si>
  <si>
    <t>Note  8, Styrehonorar</t>
  </si>
  <si>
    <t>Budsjett 21</t>
  </si>
  <si>
    <t>Resultat</t>
  </si>
  <si>
    <t>Budsjett 22</t>
  </si>
  <si>
    <t>Humleby</t>
  </si>
  <si>
    <t>Cuper</t>
  </si>
  <si>
    <t>Banekostnader</t>
  </si>
  <si>
    <t>Daglig drift</t>
  </si>
  <si>
    <t>Grasrot/bingo</t>
  </si>
  <si>
    <t>Bymiljøetaten tilskudd</t>
  </si>
  <si>
    <t>Utstyr/drakter</t>
  </si>
  <si>
    <t>Utstyr</t>
  </si>
  <si>
    <t>Bøter/gebyr</t>
  </si>
  <si>
    <t>Aktivitetsavgift</t>
  </si>
  <si>
    <t>Kiosk/arrangement</t>
  </si>
  <si>
    <t>Dugnad/sponsor</t>
  </si>
  <si>
    <t>MVA kompensasjon</t>
  </si>
  <si>
    <t>LAM</t>
  </si>
  <si>
    <t>OBOS gir tilbake</t>
  </si>
  <si>
    <t>Hodestøtte</t>
  </si>
  <si>
    <t>Annen støtte/Oslo kommune</t>
  </si>
  <si>
    <t>Dommer</t>
  </si>
  <si>
    <t>Overganger</t>
  </si>
  <si>
    <t>AKS Tiurleiken</t>
  </si>
  <si>
    <t>AKS Svarttjern</t>
  </si>
  <si>
    <t>Styremøter</t>
  </si>
  <si>
    <t xml:space="preserve">Prosjekter </t>
  </si>
  <si>
    <t>Påmelding serien/Kretskontingent</t>
  </si>
  <si>
    <t>Sosiale kostn</t>
  </si>
  <si>
    <t>Oslo Komune/Annen støtte</t>
  </si>
  <si>
    <t>Jenter 15/16</t>
  </si>
  <si>
    <t>Medlemskontingenter</t>
  </si>
  <si>
    <t>Regnskapsføring/programmer</t>
  </si>
  <si>
    <t>Groruddalsmidler</t>
  </si>
  <si>
    <t>Prosjekt</t>
  </si>
  <si>
    <t>Bymil, hall og baner</t>
  </si>
  <si>
    <t>Finnansintekter</t>
  </si>
  <si>
    <t>PROSJEKTREGNSKAP</t>
  </si>
  <si>
    <t>Bydel Grorud, rest</t>
  </si>
  <si>
    <t>Groruddalsmidler, rest 2020</t>
  </si>
  <si>
    <t>Mc Donalds  (Jentefotball)</t>
  </si>
  <si>
    <t>Sparekonto, se forslag til årsmøte</t>
  </si>
  <si>
    <r>
      <t xml:space="preserve">Grasrot  </t>
    </r>
    <r>
      <rPr>
        <sz val="8"/>
        <color theme="1"/>
        <rFont val="Calibri"/>
        <family val="2"/>
        <scheme val="minor"/>
      </rPr>
      <t>(mottatt)</t>
    </r>
  </si>
  <si>
    <t>NHF  (håndball)</t>
  </si>
  <si>
    <r>
      <t xml:space="preserve">Vanavil  </t>
    </r>
    <r>
      <rPr>
        <sz val="8"/>
        <color theme="1"/>
        <rFont val="Calibri"/>
        <family val="2"/>
        <scheme val="minor"/>
      </rPr>
      <t>(Hallen)  (mottatt)</t>
    </r>
  </si>
  <si>
    <r>
      <t>AKS  (</t>
    </r>
    <r>
      <rPr>
        <sz val="8"/>
        <color theme="1"/>
        <rFont val="Calibri"/>
        <family val="2"/>
        <scheme val="minor"/>
      </rPr>
      <t>fotball)  (mottatt)</t>
    </r>
  </si>
  <si>
    <r>
      <t xml:space="preserve">Futsal (NFF, </t>
    </r>
    <r>
      <rPr>
        <sz val="8"/>
        <color theme="1"/>
        <rFont val="Calibri"/>
        <family val="2"/>
        <scheme val="minor"/>
      </rPr>
      <t>fotball) (mottatt)</t>
    </r>
  </si>
  <si>
    <r>
      <t xml:space="preserve">Treningsavgift </t>
    </r>
    <r>
      <rPr>
        <sz val="8"/>
        <color theme="1"/>
        <rFont val="Calibri"/>
        <family val="2"/>
        <scheme val="minor"/>
      </rPr>
      <t>(gammelt, håndball)</t>
    </r>
  </si>
  <si>
    <t>TOTALREGNSKAP ROMSÅS IDRETTSLAG 2021</t>
  </si>
  <si>
    <t>NOTER TIL REGNSKAPET, ROMSÅS IDRETTSLAG 2021</t>
  </si>
  <si>
    <t>Romsås IL gikk i 2020 over til å benytte Idrettenss regnskapskontor (IRK)</t>
  </si>
  <si>
    <t>Totalregnskapet er prøvd å settes opp på samme måte som tidligere års regnskap, men grupperegnskap</t>
  </si>
  <si>
    <t>og budsjett for 2022 står som prosjektregnskap som vedlegg sammen med prosjektregnskap for</t>
  </si>
  <si>
    <t>Da årsmøtet kun vedtar Romsås ILs regnskap, budsjett og balanse, ikke ned på gruppenivå</t>
  </si>
  <si>
    <t>må man reduserer sine kostnader.</t>
  </si>
  <si>
    <t>Note 3 Aandre inntekter</t>
  </si>
  <si>
    <t>AKS håndball gr.</t>
  </si>
  <si>
    <t>AKS fotball gr.</t>
  </si>
  <si>
    <t>BALANSE ROMSÅS IDRETTSLAG  2021</t>
  </si>
  <si>
    <t>PROSJEKTREGNSKAP FOR ROMSÅS IL 2021</t>
  </si>
  <si>
    <t>Note 6. OBOS gir tilbake</t>
  </si>
  <si>
    <t>Underskudd i prosjekterte kostneder kommer fram:</t>
  </si>
  <si>
    <t>Avd 20 turn</t>
  </si>
  <si>
    <t>Avd 30 håndball</t>
  </si>
  <si>
    <t>Avd 40 fotball</t>
  </si>
  <si>
    <t>Avd 50 aerobic</t>
  </si>
  <si>
    <t>Avd 60 hallen</t>
  </si>
  <si>
    <t>Avd 80 sykkel</t>
  </si>
  <si>
    <t>Lønn/honorar</t>
  </si>
  <si>
    <t>Note 1, AKS inntekter</t>
  </si>
  <si>
    <t>Note 8, Budsjeterte resultat for 2022</t>
  </si>
  <si>
    <t>Romsås Idretshall</t>
  </si>
  <si>
    <t>Note 2, Inkluderngsmidler</t>
  </si>
  <si>
    <t>Note 3, Nabolagsklubb</t>
  </si>
  <si>
    <t>Note 4, Annen støtte</t>
  </si>
  <si>
    <t>Note 5, Sparebankstiftelse</t>
  </si>
  <si>
    <t>Note 7, Jenter 15/16</t>
  </si>
  <si>
    <t>Inkluderingsmidler rest 2021</t>
  </si>
  <si>
    <t xml:space="preserve">Romsås IL totalt. </t>
  </si>
  <si>
    <t>må gruppene forholde seg til budsjettert resultat for 2022. Får man mindre inntekter enn budsjetert</t>
  </si>
  <si>
    <t>Oslo,  18. mars 2022</t>
  </si>
  <si>
    <t>Støtte</t>
  </si>
  <si>
    <t>Samlinger</t>
  </si>
  <si>
    <t>Støtte til 50 års jubileum</t>
  </si>
  <si>
    <t>Støtte til klubbhuset</t>
  </si>
  <si>
    <t>Treningstøy, barn og unge</t>
  </si>
  <si>
    <t>Helgetur til Kinsbakken</t>
  </si>
  <si>
    <t>Honorar åpen hall, tilbakeført gruppa</t>
  </si>
  <si>
    <t>Annonse, åpen hall</t>
  </si>
  <si>
    <t>div utstyr</t>
  </si>
  <si>
    <t>Utstyr, inkludering av kvinner</t>
  </si>
  <si>
    <t>Treningsutstyr</t>
  </si>
  <si>
    <t>Inmelding sykkel</t>
  </si>
  <si>
    <t>Lederkurs</t>
  </si>
  <si>
    <t>sum forbruk</t>
  </si>
  <si>
    <t>Rest Groruddalsmidler 2021</t>
  </si>
  <si>
    <t>Hallvakter grupper</t>
  </si>
  <si>
    <t>Zuccarellostiftelsen</t>
  </si>
  <si>
    <t>Aktivitetsavgift ført 95008</t>
  </si>
  <si>
    <t xml:space="preserve">Da RIL er uvant med å føre etter prosjekt har dessverre noen av postene  </t>
  </si>
  <si>
    <t>Svarttjern</t>
  </si>
  <si>
    <t>Tiurleiken</t>
  </si>
  <si>
    <t>3 voksne og 10-11 jenter</t>
  </si>
  <si>
    <t>Drakter</t>
  </si>
  <si>
    <t>Trøyer</t>
  </si>
  <si>
    <t>Budsjetterte inntekter</t>
  </si>
  <si>
    <t>Avd 10 styret</t>
  </si>
  <si>
    <t>Rest Ullmaks fond</t>
  </si>
  <si>
    <t>blitt ført slik som under kontonummer og ikke inn under prosjektet det hører till</t>
  </si>
  <si>
    <t>Styret søkte om støtte for tapte inntekter</t>
  </si>
  <si>
    <t>Vi fikk 50 %, kr 75 000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</si>
</sst>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 * #,##0.00_ ;_ * \-#,##0.00_ ;_ * &quot;-&quot;??_ ;_ @_ "/>
    <numFmt numFmtId="166" formatCode="_ * #,##0_ ;_ * \-#,##0_ ;_ * &quot;-&quot;??_ ;_ @_ "/>
    <numFmt numFmtId="168" formatCode="_(* #,##0.00_);_(* \(#,##0.00\);_(* &quot;-&quot;??_);_(@_)"/>
    <numFmt numFmtId="169" formatCode="#,##0;[Red]#,##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8" fillId="0" borderId="0"/>
    <xf numFmtId="168" fontId="18" fillId="0" borderId="0" applyFont="0" applyFill="0" applyBorder="0" applyAlignment="0" applyProtection="0"/>
    <xf numFmtId="0" fontId="22" fillId="0" borderId="0" applyBorder="0"/>
  </cellStyleXfs>
  <cellXfs count="15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164" fontId="5" fillId="0" borderId="0" xfId="1" applyNumberFormat="1" applyFont="1"/>
    <xf numFmtId="0" fontId="5" fillId="0" borderId="0" xfId="0" applyFont="1"/>
    <xf numFmtId="0" fontId="2" fillId="0" borderId="0" xfId="0" applyFont="1"/>
    <xf numFmtId="0" fontId="6" fillId="0" borderId="0" xfId="0" applyFont="1"/>
    <xf numFmtId="164" fontId="7" fillId="0" borderId="0" xfId="1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164" fontId="5" fillId="0" borderId="0" xfId="1" applyNumberFormat="1" applyFont="1" applyBorder="1"/>
    <xf numFmtId="164" fontId="0" fillId="0" borderId="0" xfId="1" applyNumberFormat="1" applyFont="1"/>
    <xf numFmtId="164" fontId="5" fillId="0" borderId="1" xfId="1" applyNumberFormat="1" applyFont="1" applyBorder="1"/>
    <xf numFmtId="164" fontId="7" fillId="0" borderId="0" xfId="1" applyNumberFormat="1" applyFont="1"/>
    <xf numFmtId="164" fontId="5" fillId="0" borderId="0" xfId="1" applyNumberFormat="1" applyFont="1" applyFill="1" applyBorder="1"/>
    <xf numFmtId="164" fontId="5" fillId="0" borderId="1" xfId="1" applyNumberFormat="1" applyFont="1" applyFill="1" applyBorder="1"/>
    <xf numFmtId="0" fontId="2" fillId="0" borderId="0" xfId="0" applyFont="1" applyAlignment="1">
      <alignment horizontal="center"/>
    </xf>
    <xf numFmtId="164" fontId="5" fillId="0" borderId="0" xfId="1" applyNumberFormat="1" applyFont="1" applyFill="1"/>
    <xf numFmtId="164" fontId="5" fillId="0" borderId="0" xfId="0" applyNumberFormat="1" applyFont="1"/>
    <xf numFmtId="164" fontId="7" fillId="0" borderId="0" xfId="1" applyNumberFormat="1" applyFont="1" applyFill="1"/>
    <xf numFmtId="166" fontId="0" fillId="0" borderId="0" xfId="2" applyNumberFormat="1" applyFont="1"/>
    <xf numFmtId="164" fontId="2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6" fontId="2" fillId="0" borderId="0" xfId="2" applyNumberFormat="1" applyFont="1"/>
    <xf numFmtId="166" fontId="0" fillId="0" borderId="0" xfId="0" applyNumberFormat="1"/>
    <xf numFmtId="0" fontId="8" fillId="0" borderId="0" xfId="0" applyFont="1"/>
    <xf numFmtId="164" fontId="0" fillId="0" borderId="0" xfId="0" applyNumberFormat="1"/>
    <xf numFmtId="164" fontId="7" fillId="0" borderId="2" xfId="1" applyNumberFormat="1" applyFont="1" applyBorder="1"/>
    <xf numFmtId="164" fontId="4" fillId="0" borderId="0" xfId="1" applyNumberFormat="1" applyFont="1" applyAlignment="1">
      <alignment horizontal="center"/>
    </xf>
    <xf numFmtId="0" fontId="5" fillId="0" borderId="0" xfId="0" applyFont="1" applyFill="1"/>
    <xf numFmtId="164" fontId="5" fillId="0" borderId="0" xfId="0" applyNumberFormat="1" applyFont="1" applyFill="1"/>
    <xf numFmtId="164" fontId="5" fillId="0" borderId="2" xfId="1" applyNumberFormat="1" applyFont="1" applyFill="1" applyBorder="1"/>
    <xf numFmtId="0" fontId="5" fillId="0" borderId="0" xfId="0" applyFont="1" applyBorder="1"/>
    <xf numFmtId="164" fontId="0" fillId="0" borderId="0" xfId="1" applyNumberFormat="1" applyFont="1" applyFill="1" applyBorder="1" applyAlignment="1">
      <alignment horizontal="right"/>
    </xf>
    <xf numFmtId="164" fontId="7" fillId="0" borderId="0" xfId="1" applyNumberFormat="1" applyFont="1" applyFill="1" applyAlignment="1">
      <alignment horizontal="center"/>
    </xf>
    <xf numFmtId="164" fontId="7" fillId="0" borderId="0" xfId="0" applyNumberFormat="1" applyFont="1"/>
    <xf numFmtId="49" fontId="7" fillId="0" borderId="0" xfId="1" applyNumberFormat="1" applyFont="1" applyFill="1" applyAlignment="1">
      <alignment horizontal="center"/>
    </xf>
    <xf numFmtId="0" fontId="9" fillId="0" borderId="0" xfId="0" applyFont="1"/>
    <xf numFmtId="0" fontId="10" fillId="0" borderId="0" xfId="0" applyFont="1"/>
    <xf numFmtId="164" fontId="10" fillId="0" borderId="0" xfId="1" applyNumberFormat="1" applyFont="1"/>
    <xf numFmtId="164" fontId="2" fillId="0" borderId="0" xfId="1" applyNumberFormat="1" applyFont="1"/>
    <xf numFmtId="164" fontId="0" fillId="0" borderId="1" xfId="1" applyNumberFormat="1" applyFont="1" applyBorder="1"/>
    <xf numFmtId="49" fontId="0" fillId="0" borderId="0" xfId="1" applyNumberFormat="1" applyFont="1"/>
    <xf numFmtId="49" fontId="0" fillId="0" borderId="0" xfId="0" applyNumberFormat="1"/>
    <xf numFmtId="49" fontId="5" fillId="0" borderId="0" xfId="1" applyNumberFormat="1" applyFont="1"/>
    <xf numFmtId="49" fontId="2" fillId="0" borderId="0" xfId="0" applyNumberFormat="1" applyFont="1"/>
    <xf numFmtId="49" fontId="5" fillId="0" borderId="0" xfId="1" applyNumberFormat="1" applyFont="1" applyBorder="1"/>
    <xf numFmtId="164" fontId="0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11" fillId="0" borderId="0" xfId="0" applyFont="1"/>
    <xf numFmtId="0" fontId="7" fillId="0" borderId="0" xfId="0" applyFont="1" applyBorder="1"/>
    <xf numFmtId="49" fontId="7" fillId="0" borderId="0" xfId="0" applyNumberFormat="1" applyFont="1" applyAlignment="1">
      <alignment horizontal="center"/>
    </xf>
    <xf numFmtId="164" fontId="0" fillId="0" borderId="0" xfId="1" applyNumberFormat="1" applyFont="1" applyBorder="1"/>
    <xf numFmtId="164" fontId="1" fillId="0" borderId="1" xfId="1" applyNumberFormat="1" applyFont="1" applyBorder="1"/>
    <xf numFmtId="0" fontId="13" fillId="0" borderId="0" xfId="3"/>
    <xf numFmtId="0" fontId="14" fillId="0" borderId="0" xfId="0" applyFont="1" applyAlignment="1">
      <alignment vertical="top"/>
    </xf>
    <xf numFmtId="164" fontId="14" fillId="0" borderId="0" xfId="1" applyNumberFormat="1" applyFont="1" applyAlignment="1">
      <alignment vertical="top"/>
    </xf>
    <xf numFmtId="164" fontId="14" fillId="0" borderId="1" xfId="1" applyNumberFormat="1" applyFont="1" applyBorder="1" applyAlignment="1">
      <alignment vertical="top"/>
    </xf>
    <xf numFmtId="164" fontId="15" fillId="0" borderId="0" xfId="1" applyNumberFormat="1" applyFont="1" applyAlignment="1">
      <alignment vertical="top"/>
    </xf>
    <xf numFmtId="0" fontId="0" fillId="0" borderId="0" xfId="0" applyBorder="1"/>
    <xf numFmtId="164" fontId="1" fillId="0" borderId="0" xfId="1" applyNumberFormat="1" applyFont="1"/>
    <xf numFmtId="0" fontId="0" fillId="0" borderId="0" xfId="0" applyAlignment="1">
      <alignment vertical="top"/>
    </xf>
    <xf numFmtId="4" fontId="0" fillId="0" borderId="0" xfId="1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0" xfId="1" applyNumberFormat="1" applyFont="1" applyBorder="1" applyAlignment="1">
      <alignment horizontal="right"/>
    </xf>
    <xf numFmtId="4" fontId="2" fillId="0" borderId="0" xfId="1" applyNumberFormat="1" applyFont="1"/>
    <xf numFmtId="164" fontId="0" fillId="0" borderId="1" xfId="1" applyNumberFormat="1" applyFont="1" applyBorder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164" fontId="0" fillId="0" borderId="0" xfId="0" applyNumberFormat="1" applyBorder="1"/>
    <xf numFmtId="0" fontId="0" fillId="0" borderId="0" xfId="0" applyFont="1"/>
    <xf numFmtId="0" fontId="0" fillId="0" borderId="3" xfId="0" applyBorder="1"/>
    <xf numFmtId="0" fontId="16" fillId="0" borderId="3" xfId="0" applyFont="1" applyBorder="1" applyAlignment="1">
      <alignment vertical="top" wrapText="1"/>
    </xf>
    <xf numFmtId="164" fontId="0" fillId="0" borderId="3" xfId="0" applyNumberFormat="1" applyBorder="1"/>
    <xf numFmtId="164" fontId="0" fillId="0" borderId="3" xfId="1" applyNumberFormat="1" applyFont="1" applyFill="1" applyBorder="1"/>
    <xf numFmtId="0" fontId="0" fillId="0" borderId="3" xfId="0" applyBorder="1" applyAlignment="1">
      <alignment vertical="center"/>
    </xf>
    <xf numFmtId="0" fontId="16" fillId="0" borderId="3" xfId="0" applyFont="1" applyBorder="1" applyAlignment="1">
      <alignment vertical="center" wrapText="1"/>
    </xf>
    <xf numFmtId="0" fontId="23" fillId="0" borderId="0" xfId="0" applyFont="1"/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center"/>
    </xf>
    <xf numFmtId="0" fontId="26" fillId="0" borderId="0" xfId="0" applyFont="1"/>
    <xf numFmtId="0" fontId="0" fillId="0" borderId="0" xfId="0" applyFill="1"/>
    <xf numFmtId="164" fontId="0" fillId="0" borderId="0" xfId="1" applyNumberFormat="1" applyFont="1" applyFill="1"/>
    <xf numFmtId="164" fontId="1" fillId="0" borderId="0" xfId="1" applyNumberFormat="1" applyFont="1" applyFill="1"/>
    <xf numFmtId="164" fontId="0" fillId="0" borderId="0" xfId="1" applyNumberFormat="1" applyFont="1" applyAlignment="1">
      <alignment horizontal="left"/>
    </xf>
    <xf numFmtId="0" fontId="24" fillId="0" borderId="6" xfId="0" applyFont="1" applyBorder="1" applyAlignment="1">
      <alignment horizontal="center"/>
    </xf>
    <xf numFmtId="0" fontId="24" fillId="0" borderId="6" xfId="0" applyFont="1" applyBorder="1" applyAlignment="1">
      <alignment wrapText="1"/>
    </xf>
    <xf numFmtId="1" fontId="25" fillId="0" borderId="6" xfId="4" applyNumberFormat="1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1" fillId="0" borderId="11" xfId="0" applyFont="1" applyBorder="1"/>
    <xf numFmtId="164" fontId="21" fillId="0" borderId="14" xfId="1" applyNumberFormat="1" applyFont="1" applyFill="1" applyBorder="1"/>
    <xf numFmtId="164" fontId="2" fillId="0" borderId="14" xfId="1" applyNumberFormat="1" applyFont="1" applyFill="1" applyBorder="1"/>
    <xf numFmtId="164" fontId="2" fillId="0" borderId="14" xfId="0" applyNumberFormat="1" applyFont="1" applyBorder="1"/>
    <xf numFmtId="166" fontId="5" fillId="0" borderId="0" xfId="2" applyNumberFormat="1" applyFont="1" applyFill="1" applyBorder="1"/>
    <xf numFmtId="164" fontId="5" fillId="0" borderId="0" xfId="0" applyNumberFormat="1" applyFont="1" applyFill="1" applyBorder="1"/>
    <xf numFmtId="3" fontId="18" fillId="0" borderId="3" xfId="5" applyNumberFormat="1" applyFont="1" applyFill="1" applyBorder="1"/>
    <xf numFmtId="164" fontId="16" fillId="0" borderId="3" xfId="1" applyNumberFormat="1" applyFont="1" applyFill="1" applyBorder="1" applyAlignment="1">
      <alignment vertical="top" wrapText="1"/>
    </xf>
    <xf numFmtId="164" fontId="12" fillId="0" borderId="0" xfId="1" applyNumberFormat="1" applyFont="1"/>
    <xf numFmtId="0" fontId="14" fillId="0" borderId="0" xfId="0" applyFont="1" applyBorder="1" applyAlignment="1">
      <alignment vertical="top"/>
    </xf>
    <xf numFmtId="164" fontId="14" fillId="0" borderId="0" xfId="1" applyNumberFormat="1" applyFont="1" applyBorder="1" applyAlignment="1">
      <alignment vertical="top"/>
    </xf>
    <xf numFmtId="0" fontId="2" fillId="0" borderId="8" xfId="0" applyFont="1" applyBorder="1" applyAlignment="1">
      <alignment horizontal="center"/>
    </xf>
    <xf numFmtId="0" fontId="19" fillId="0" borderId="11" xfId="4" applyFont="1" applyBorder="1"/>
    <xf numFmtId="0" fontId="19" fillId="0" borderId="14" xfId="4" applyFont="1" applyBorder="1"/>
    <xf numFmtId="0" fontId="28" fillId="0" borderId="0" xfId="0" applyFont="1"/>
    <xf numFmtId="164" fontId="5" fillId="0" borderId="3" xfId="1" applyNumberFormat="1" applyFont="1" applyFill="1" applyBorder="1"/>
    <xf numFmtId="0" fontId="0" fillId="0" borderId="3" xfId="0" applyFill="1" applyBorder="1"/>
    <xf numFmtId="164" fontId="0" fillId="0" borderId="3" xfId="1" applyNumberFormat="1" applyFont="1" applyFill="1" applyBorder="1" applyAlignment="1">
      <alignment vertical="top" wrapText="1"/>
    </xf>
    <xf numFmtId="164" fontId="25" fillId="0" borderId="3" xfId="1" applyNumberFormat="1" applyFont="1" applyFill="1" applyBorder="1" applyAlignment="1">
      <alignment horizontal="center"/>
    </xf>
    <xf numFmtId="164" fontId="0" fillId="0" borderId="0" xfId="1" applyNumberFormat="1" applyFont="1" applyFill="1" applyBorder="1"/>
    <xf numFmtId="164" fontId="0" fillId="0" borderId="1" xfId="1" applyNumberFormat="1" applyFont="1" applyFill="1" applyBorder="1"/>
    <xf numFmtId="164" fontId="2" fillId="0" borderId="0" xfId="1" applyNumberFormat="1" applyFont="1" applyFill="1"/>
    <xf numFmtId="164" fontId="16" fillId="0" borderId="3" xfId="1" applyNumberFormat="1" applyFont="1" applyFill="1" applyBorder="1" applyAlignment="1">
      <alignment vertical="center" wrapText="1"/>
    </xf>
    <xf numFmtId="164" fontId="18" fillId="0" borderId="3" xfId="1" applyNumberFormat="1" applyFont="1" applyFill="1" applyBorder="1" applyAlignment="1">
      <alignment horizontal="center"/>
    </xf>
    <xf numFmtId="0" fontId="0" fillId="0" borderId="3" xfId="0" applyBorder="1" applyAlignment="1">
      <alignment wrapText="1"/>
    </xf>
    <xf numFmtId="0" fontId="4" fillId="0" borderId="3" xfId="0" applyFont="1" applyBorder="1" applyAlignment="1">
      <alignment horizontal="center"/>
    </xf>
    <xf numFmtId="0" fontId="5" fillId="0" borderId="3" xfId="0" applyFont="1" applyBorder="1"/>
    <xf numFmtId="0" fontId="17" fillId="0" borderId="3" xfId="0" applyFont="1" applyBorder="1" applyAlignment="1">
      <alignment vertical="top" wrapText="1"/>
    </xf>
    <xf numFmtId="164" fontId="25" fillId="0" borderId="6" xfId="1" applyNumberFormat="1" applyFont="1" applyFill="1" applyBorder="1" applyAlignment="1">
      <alignment horizontal="center"/>
    </xf>
    <xf numFmtId="0" fontId="2" fillId="0" borderId="6" xfId="0" applyFont="1" applyBorder="1" applyAlignment="1">
      <alignment wrapText="1"/>
    </xf>
    <xf numFmtId="169" fontId="0" fillId="0" borderId="0" xfId="1" applyNumberFormat="1" applyFont="1" applyFill="1"/>
    <xf numFmtId="164" fontId="7" fillId="0" borderId="14" xfId="1" applyNumberFormat="1" applyFont="1" applyFill="1" applyBorder="1"/>
    <xf numFmtId="0" fontId="0" fillId="0" borderId="2" xfId="0" applyFont="1" applyBorder="1"/>
    <xf numFmtId="164" fontId="7" fillId="0" borderId="0" xfId="1" applyNumberFormat="1" applyFont="1" applyBorder="1"/>
    <xf numFmtId="164" fontId="2" fillId="0" borderId="1" xfId="1" applyNumberFormat="1" applyFont="1" applyFill="1" applyBorder="1"/>
    <xf numFmtId="0" fontId="0" fillId="0" borderId="1" xfId="0" applyBorder="1"/>
    <xf numFmtId="164" fontId="2" fillId="0" borderId="0" xfId="1" applyNumberFormat="1" applyFont="1" applyBorder="1"/>
    <xf numFmtId="0" fontId="2" fillId="0" borderId="0" xfId="0" applyFont="1" applyFill="1" applyBorder="1"/>
    <xf numFmtId="1" fontId="19" fillId="2" borderId="5" xfId="4" applyNumberFormat="1" applyFont="1" applyFill="1" applyBorder="1" applyAlignment="1">
      <alignment horizontal="center"/>
    </xf>
    <xf numFmtId="0" fontId="0" fillId="2" borderId="0" xfId="0" applyFill="1"/>
    <xf numFmtId="0" fontId="5" fillId="2" borderId="0" xfId="0" applyFont="1" applyFill="1"/>
    <xf numFmtId="0" fontId="2" fillId="2" borderId="0" xfId="0" applyFont="1" applyFill="1"/>
    <xf numFmtId="164" fontId="19" fillId="2" borderId="5" xfId="1" applyNumberFormat="1" applyFont="1" applyFill="1" applyBorder="1" applyAlignment="1">
      <alignment horizontal="center"/>
    </xf>
    <xf numFmtId="164" fontId="25" fillId="2" borderId="4" xfId="1" applyNumberFormat="1" applyFont="1" applyFill="1" applyBorder="1" applyAlignment="1">
      <alignment horizontal="center"/>
    </xf>
    <xf numFmtId="1" fontId="25" fillId="2" borderId="7" xfId="4" applyNumberFormat="1" applyFont="1" applyFill="1" applyBorder="1" applyAlignment="1">
      <alignment horizontal="center"/>
    </xf>
    <xf numFmtId="1" fontId="25" fillId="0" borderId="3" xfId="4" applyNumberFormat="1" applyFont="1" applyBorder="1" applyAlignment="1">
      <alignment horizontal="center"/>
    </xf>
    <xf numFmtId="164" fontId="5" fillId="0" borderId="16" xfId="1" applyNumberFormat="1" applyFont="1" applyFill="1" applyBorder="1"/>
    <xf numFmtId="164" fontId="0" fillId="0" borderId="16" xfId="1" applyNumberFormat="1" applyFont="1" applyFill="1" applyBorder="1"/>
    <xf numFmtId="164" fontId="19" fillId="0" borderId="0" xfId="1" applyNumberFormat="1" applyFont="1" applyFill="1" applyBorder="1" applyAlignment="1">
      <alignment horizontal="center"/>
    </xf>
    <xf numFmtId="164" fontId="25" fillId="0" borderId="0" xfId="1" applyNumberFormat="1" applyFont="1" applyFill="1" applyBorder="1" applyAlignment="1">
      <alignment horizontal="center"/>
    </xf>
    <xf numFmtId="164" fontId="2" fillId="0" borderId="0" xfId="0" applyNumberFormat="1" applyFont="1" applyBorder="1"/>
    <xf numFmtId="1" fontId="25" fillId="0" borderId="6" xfId="4" applyNumberFormat="1" applyFont="1" applyFill="1" applyBorder="1" applyAlignment="1">
      <alignment horizontal="center"/>
    </xf>
    <xf numFmtId="0" fontId="5" fillId="0" borderId="3" xfId="0" applyFont="1" applyFill="1" applyBorder="1"/>
    <xf numFmtId="0" fontId="27" fillId="0" borderId="0" xfId="0" applyFont="1" applyAlignment="1">
      <alignment horizontal="center"/>
    </xf>
    <xf numFmtId="1" fontId="19" fillId="0" borderId="13" xfId="4" applyNumberFormat="1" applyFont="1" applyBorder="1" applyAlignment="1">
      <alignment horizontal="center"/>
    </xf>
    <xf numFmtId="1" fontId="19" fillId="0" borderId="5" xfId="4" applyNumberFormat="1" applyFont="1" applyBorder="1" applyAlignment="1">
      <alignment horizontal="center"/>
    </xf>
    <xf numFmtId="1" fontId="19" fillId="0" borderId="15" xfId="4" applyNumberFormat="1" applyFont="1" applyBorder="1" applyAlignment="1">
      <alignment horizontal="center"/>
    </xf>
    <xf numFmtId="1" fontId="19" fillId="0" borderId="13" xfId="4" applyNumberFormat="1" applyFont="1" applyFill="1" applyBorder="1" applyAlignment="1">
      <alignment horizontal="center"/>
    </xf>
    <xf numFmtId="1" fontId="19" fillId="0" borderId="10" xfId="4" applyNumberFormat="1" applyFont="1" applyFill="1" applyBorder="1" applyAlignment="1">
      <alignment horizontal="center"/>
    </xf>
    <xf numFmtId="1" fontId="19" fillId="0" borderId="12" xfId="4" applyNumberFormat="1" applyFont="1" applyFill="1" applyBorder="1" applyAlignment="1">
      <alignment horizontal="center"/>
    </xf>
    <xf numFmtId="164" fontId="19" fillId="0" borderId="8" xfId="1" applyNumberFormat="1" applyFont="1" applyFill="1" applyBorder="1" applyAlignment="1">
      <alignment horizontal="center"/>
    </xf>
    <xf numFmtId="164" fontId="19" fillId="0" borderId="9" xfId="1" applyNumberFormat="1" applyFont="1" applyFill="1" applyBorder="1" applyAlignment="1">
      <alignment horizontal="center"/>
    </xf>
    <xf numFmtId="164" fontId="19" fillId="0" borderId="11" xfId="1" applyNumberFormat="1" applyFont="1" applyFill="1" applyBorder="1" applyAlignment="1">
      <alignment horizontal="center"/>
    </xf>
  </cellXfs>
  <cellStyles count="7">
    <cellStyle name="Hyperkobling" xfId="3" builtinId="8"/>
    <cellStyle name="Komma" xfId="1" builtinId="3"/>
    <cellStyle name="Komma 2" xfId="2" xr:uid="{EABAA30D-9532-4702-81B3-8A357E7644F7}"/>
    <cellStyle name="Komma 2 2" xfId="5" xr:uid="{F2B3A7CB-940B-4F90-A4DF-8B6282ED2656}"/>
    <cellStyle name="Normal" xfId="0" builtinId="0"/>
    <cellStyle name="Normal 2" xfId="4" xr:uid="{D6FABEF2-310A-4231-A7AD-7BDC85F09DFE}"/>
    <cellStyle name="Normal 3" xfId="6" xr:uid="{91FC8613-7877-4852-A372-D8FFC4FA6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0C900-98E7-4B65-B37A-45D90724983A}">
  <dimension ref="A1:T101"/>
  <sheetViews>
    <sheetView topLeftCell="A37" workbookViewId="0">
      <pane xSplit="1" topLeftCell="B1" activePane="topRight" state="frozen"/>
      <selection activeCell="A24" sqref="A24"/>
      <selection pane="topRight" activeCell="J54" sqref="J54"/>
    </sheetView>
  </sheetViews>
  <sheetFormatPr baseColWidth="10" defaultRowHeight="14.4" x14ac:dyDescent="0.3"/>
  <cols>
    <col min="1" max="1" width="21.33203125" style="4" customWidth="1"/>
    <col min="2" max="2" width="4" style="2" customWidth="1"/>
    <col min="3" max="3" width="13.6640625" style="3" bestFit="1" customWidth="1"/>
    <col min="4" max="4" width="4" style="3" customWidth="1"/>
    <col min="5" max="5" width="10.6640625" style="3" customWidth="1"/>
    <col min="6" max="6" width="6.5546875" style="3" customWidth="1"/>
    <col min="7" max="7" width="10.6640625" style="3" customWidth="1"/>
    <col min="8" max="8" width="5" style="3" customWidth="1"/>
    <col min="9" max="9" width="10.6640625" style="17" customWidth="1"/>
    <col min="10" max="10" width="23" customWidth="1"/>
    <col min="11" max="11" width="11.5546875" style="11"/>
    <col min="12" max="12" width="8.33203125" customWidth="1"/>
    <col min="13" max="13" width="29.5546875" customWidth="1"/>
    <col min="14" max="14" width="12.77734375" customWidth="1"/>
    <col min="15" max="15" width="30.6640625" bestFit="1" customWidth="1"/>
    <col min="16" max="16" width="11.5546875" style="11"/>
    <col min="18" max="18" width="23" bestFit="1" customWidth="1"/>
    <col min="19" max="19" width="13.33203125" customWidth="1"/>
    <col min="20" max="20" width="11.5546875" style="11"/>
  </cols>
  <sheetData>
    <row r="1" spans="1:20" ht="22.8" x14ac:dyDescent="0.4">
      <c r="A1" s="1" t="s">
        <v>207</v>
      </c>
      <c r="H1" s="4"/>
      <c r="J1" s="38" t="s">
        <v>208</v>
      </c>
      <c r="K1" s="40"/>
      <c r="L1" s="39"/>
      <c r="M1" s="39"/>
      <c r="N1" s="39"/>
      <c r="O1" s="39"/>
      <c r="P1" s="40"/>
    </row>
    <row r="2" spans="1:20" x14ac:dyDescent="0.3">
      <c r="C2" s="97"/>
      <c r="D2" s="97"/>
      <c r="E2" s="97"/>
      <c r="F2" s="97"/>
      <c r="G2" s="97"/>
      <c r="H2" s="4"/>
      <c r="J2" t="s">
        <v>209</v>
      </c>
    </row>
    <row r="3" spans="1:20" ht="15.6" x14ac:dyDescent="0.3">
      <c r="A3" s="6" t="s">
        <v>0</v>
      </c>
      <c r="C3" s="7" t="s">
        <v>1</v>
      </c>
      <c r="D3" s="7"/>
      <c r="E3" s="7" t="s">
        <v>2</v>
      </c>
      <c r="F3" s="7"/>
      <c r="G3" s="7" t="s">
        <v>1</v>
      </c>
      <c r="H3" s="8"/>
      <c r="I3" s="7" t="s">
        <v>2</v>
      </c>
      <c r="J3" t="s">
        <v>210</v>
      </c>
    </row>
    <row r="4" spans="1:20" x14ac:dyDescent="0.3">
      <c r="A4" s="9" t="s">
        <v>3</v>
      </c>
      <c r="B4" s="2" t="s">
        <v>4</v>
      </c>
      <c r="C4" s="8">
        <v>2021</v>
      </c>
      <c r="D4" s="8"/>
      <c r="E4" s="8">
        <v>2021</v>
      </c>
      <c r="F4" s="8"/>
      <c r="G4" s="8">
        <v>2020</v>
      </c>
      <c r="H4" s="52"/>
      <c r="I4" s="8">
        <v>2022</v>
      </c>
      <c r="J4" t="s">
        <v>211</v>
      </c>
    </row>
    <row r="5" spans="1:20" x14ac:dyDescent="0.3">
      <c r="A5" s="4" t="s">
        <v>44</v>
      </c>
      <c r="C5" s="3">
        <v>8927</v>
      </c>
      <c r="E5" s="17">
        <v>100000</v>
      </c>
      <c r="G5" s="17">
        <v>34526</v>
      </c>
      <c r="H5" s="4"/>
      <c r="I5" s="17">
        <v>182000</v>
      </c>
      <c r="J5" t="s">
        <v>237</v>
      </c>
    </row>
    <row r="6" spans="1:20" x14ac:dyDescent="0.3">
      <c r="A6" s="4" t="s">
        <v>49</v>
      </c>
      <c r="E6" s="17">
        <v>55000</v>
      </c>
      <c r="G6" s="17"/>
      <c r="H6" s="4"/>
      <c r="I6" s="17">
        <v>61000</v>
      </c>
      <c r="J6" t="s">
        <v>212</v>
      </c>
    </row>
    <row r="7" spans="1:20" ht="15" thickBot="1" x14ac:dyDescent="0.35">
      <c r="A7" s="4" t="s">
        <v>5</v>
      </c>
      <c r="B7" s="2">
        <v>1</v>
      </c>
      <c r="C7" s="12">
        <f>50000+14441</f>
        <v>64441</v>
      </c>
      <c r="E7" s="32">
        <v>18000</v>
      </c>
      <c r="G7" s="32">
        <v>23912</v>
      </c>
      <c r="H7" s="4"/>
      <c r="I7" s="32">
        <v>50000</v>
      </c>
      <c r="J7" t="s">
        <v>238</v>
      </c>
    </row>
    <row r="8" spans="1:20" x14ac:dyDescent="0.3">
      <c r="A8" s="9" t="s">
        <v>6</v>
      </c>
      <c r="C8" s="21">
        <f>SUM(C5:C7)</f>
        <v>73368</v>
      </c>
      <c r="D8" s="13"/>
      <c r="E8" s="19">
        <f>SUM(E5:E7)</f>
        <v>173000</v>
      </c>
      <c r="F8" s="13"/>
      <c r="G8" s="19">
        <f>SUM(G5:G7)</f>
        <v>58438</v>
      </c>
      <c r="H8" s="9"/>
      <c r="I8" s="21">
        <f>SUM(I5:I7)</f>
        <v>293000</v>
      </c>
      <c r="J8" t="s">
        <v>213</v>
      </c>
    </row>
    <row r="9" spans="1:20" s="5" customFormat="1" x14ac:dyDescent="0.3">
      <c r="A9" s="4"/>
      <c r="B9" s="2"/>
      <c r="C9" s="3"/>
      <c r="D9" s="3"/>
      <c r="E9" s="17"/>
      <c r="F9" s="3"/>
      <c r="G9" s="17"/>
      <c r="H9" s="4"/>
      <c r="I9" s="17"/>
      <c r="J9"/>
      <c r="K9" s="11"/>
      <c r="L9"/>
      <c r="M9"/>
      <c r="N9"/>
      <c r="O9" s="41"/>
    </row>
    <row r="10" spans="1:20" x14ac:dyDescent="0.3">
      <c r="A10" s="4" t="s">
        <v>48</v>
      </c>
      <c r="B10" s="2">
        <v>2</v>
      </c>
      <c r="C10" s="3">
        <f>827655-142947-104500</f>
        <v>580208</v>
      </c>
      <c r="E10" s="17">
        <v>354500</v>
      </c>
      <c r="G10" s="17">
        <v>599931</v>
      </c>
      <c r="H10" s="4"/>
      <c r="I10" s="17">
        <v>602500</v>
      </c>
    </row>
    <row r="11" spans="1:20" x14ac:dyDescent="0.3">
      <c r="A11" s="4" t="s">
        <v>46</v>
      </c>
      <c r="C11" s="3">
        <f>142947+104500</f>
        <v>247447</v>
      </c>
      <c r="E11" s="17">
        <v>188500</v>
      </c>
      <c r="G11" s="17">
        <v>294484</v>
      </c>
      <c r="H11" s="4"/>
      <c r="I11" s="17">
        <f>142000+123500</f>
        <v>265500</v>
      </c>
      <c r="J11" s="9" t="s">
        <v>82</v>
      </c>
      <c r="K11" s="13"/>
      <c r="M11" s="5" t="s">
        <v>71</v>
      </c>
      <c r="N11" s="11"/>
    </row>
    <row r="12" spans="1:20" ht="15" thickBot="1" x14ac:dyDescent="0.35">
      <c r="A12" s="4" t="s">
        <v>47</v>
      </c>
      <c r="C12" s="12">
        <v>149567</v>
      </c>
      <c r="D12" s="10"/>
      <c r="E12" s="32">
        <v>123000</v>
      </c>
      <c r="F12" s="10"/>
      <c r="G12" s="32">
        <v>117710</v>
      </c>
      <c r="H12" s="4"/>
      <c r="I12" s="32">
        <v>128000</v>
      </c>
      <c r="J12" s="4" t="s">
        <v>81</v>
      </c>
      <c r="K12" s="10">
        <v>14441</v>
      </c>
      <c r="M12" s="45" t="s">
        <v>118</v>
      </c>
      <c r="N12" s="3"/>
    </row>
    <row r="13" spans="1:20" x14ac:dyDescent="0.3">
      <c r="A13" s="9" t="s">
        <v>7</v>
      </c>
      <c r="C13" s="13">
        <f>SUM(C10:C12)</f>
        <v>977222</v>
      </c>
      <c r="D13" s="13"/>
      <c r="E13" s="19">
        <f>SUM(E10:E12)</f>
        <v>666000</v>
      </c>
      <c r="F13" s="13"/>
      <c r="G13" s="13">
        <f>SUM(G10:G12)</f>
        <v>1012125</v>
      </c>
      <c r="H13" s="9"/>
      <c r="I13" s="19">
        <f>SUM(I10:I12)</f>
        <v>996000</v>
      </c>
      <c r="J13" t="s">
        <v>199</v>
      </c>
      <c r="K13" s="42">
        <v>50000</v>
      </c>
      <c r="M13" t="s">
        <v>119</v>
      </c>
      <c r="N13" s="11">
        <f>571475+18200+188+32</f>
        <v>589895</v>
      </c>
      <c r="R13" s="11"/>
      <c r="T13"/>
    </row>
    <row r="14" spans="1:20" x14ac:dyDescent="0.3">
      <c r="A14" s="9" t="s">
        <v>45</v>
      </c>
      <c r="C14" s="13">
        <v>310079</v>
      </c>
      <c r="D14" s="13"/>
      <c r="E14" s="19">
        <v>292500</v>
      </c>
      <c r="F14" s="13"/>
      <c r="G14" s="19">
        <v>296476</v>
      </c>
      <c r="H14" s="9"/>
      <c r="I14" s="19">
        <v>363000</v>
      </c>
      <c r="J14" s="4"/>
      <c r="K14" s="13">
        <f>SUM(K12:K13)</f>
        <v>64441</v>
      </c>
      <c r="M14" t="s">
        <v>73</v>
      </c>
      <c r="N14" s="11">
        <v>113117</v>
      </c>
      <c r="R14" s="11"/>
      <c r="T14"/>
    </row>
    <row r="15" spans="1:20" x14ac:dyDescent="0.3">
      <c r="A15" s="9" t="s">
        <v>8</v>
      </c>
      <c r="C15" s="13">
        <v>3350</v>
      </c>
      <c r="D15" s="13"/>
      <c r="E15" s="17"/>
      <c r="F15" s="13"/>
      <c r="G15" s="19">
        <v>8350</v>
      </c>
      <c r="H15" s="9"/>
      <c r="I15" s="19">
        <v>10000</v>
      </c>
      <c r="M15" s="45" t="s">
        <v>72</v>
      </c>
      <c r="N15" s="3">
        <v>20775</v>
      </c>
      <c r="P15" s="61"/>
      <c r="R15" s="11"/>
      <c r="T15"/>
    </row>
    <row r="16" spans="1:20" x14ac:dyDescent="0.3">
      <c r="A16" s="4" t="s">
        <v>9</v>
      </c>
      <c r="C16" s="3">
        <v>114650</v>
      </c>
      <c r="E16" s="17">
        <v>90000</v>
      </c>
      <c r="G16" s="17">
        <v>92597</v>
      </c>
      <c r="H16" s="4"/>
      <c r="I16" s="17">
        <v>110000</v>
      </c>
      <c r="J16" s="9" t="s">
        <v>65</v>
      </c>
      <c r="K16" s="41"/>
      <c r="M16" t="s">
        <v>120</v>
      </c>
      <c r="N16" s="11">
        <f>31298+3690</f>
        <v>34988</v>
      </c>
      <c r="R16" s="11"/>
      <c r="T16"/>
    </row>
    <row r="17" spans="1:20" x14ac:dyDescent="0.3">
      <c r="A17" s="4" t="s">
        <v>10</v>
      </c>
      <c r="C17" s="3">
        <v>367775</v>
      </c>
      <c r="E17" s="17">
        <v>354000</v>
      </c>
      <c r="G17" s="17">
        <v>154491</v>
      </c>
      <c r="H17" s="4"/>
      <c r="I17" s="17">
        <v>415000</v>
      </c>
      <c r="J17" t="s">
        <v>79</v>
      </c>
      <c r="K17" s="11">
        <v>145254</v>
      </c>
      <c r="M17" s="45" t="s">
        <v>117</v>
      </c>
      <c r="N17" s="12">
        <f>12000+3960</f>
        <v>15960</v>
      </c>
      <c r="R17" s="11"/>
      <c r="T17"/>
    </row>
    <row r="18" spans="1:20" x14ac:dyDescent="0.3">
      <c r="A18" s="4" t="s">
        <v>11</v>
      </c>
      <c r="D18" s="10"/>
      <c r="E18" s="14"/>
      <c r="F18" s="10"/>
      <c r="G18" s="17">
        <v>21000</v>
      </c>
      <c r="H18" s="4"/>
      <c r="J18" t="s">
        <v>110</v>
      </c>
      <c r="K18" s="11">
        <v>75000</v>
      </c>
      <c r="M18" s="47"/>
      <c r="N18" s="13">
        <f ca="1">SUM(N13:N18)</f>
        <v>774735</v>
      </c>
      <c r="R18" s="3"/>
      <c r="T18"/>
    </row>
    <row r="19" spans="1:20" ht="15" thickBot="1" x14ac:dyDescent="0.35">
      <c r="A19" s="4" t="s">
        <v>62</v>
      </c>
      <c r="B19" s="2">
        <v>3</v>
      </c>
      <c r="C19" s="54">
        <f>227303+1250</f>
        <v>228553</v>
      </c>
      <c r="D19" s="14"/>
      <c r="E19" s="32">
        <v>48000</v>
      </c>
      <c r="F19" s="14"/>
      <c r="G19" s="32">
        <f>164665+3624</f>
        <v>168289</v>
      </c>
      <c r="H19" s="4"/>
      <c r="I19" s="121">
        <v>194500</v>
      </c>
      <c r="J19" t="s">
        <v>111</v>
      </c>
      <c r="K19" s="11">
        <v>69825</v>
      </c>
      <c r="M19" s="45"/>
      <c r="N19" s="11"/>
      <c r="Q19" s="5"/>
      <c r="R19" s="11"/>
      <c r="T19"/>
    </row>
    <row r="20" spans="1:20" s="5" customFormat="1" x14ac:dyDescent="0.3">
      <c r="A20" s="9" t="s">
        <v>12</v>
      </c>
      <c r="B20" s="2"/>
      <c r="C20" s="13">
        <f>SUM(C16:C19)</f>
        <v>710978</v>
      </c>
      <c r="D20" s="13"/>
      <c r="E20" s="19">
        <f>SUM(E16:E19)</f>
        <v>492000</v>
      </c>
      <c r="F20" s="13"/>
      <c r="G20" s="13">
        <f>SUM(G14:G19)</f>
        <v>741203</v>
      </c>
      <c r="H20" s="9"/>
      <c r="I20" s="19">
        <f>SUM(I14:I19)</f>
        <v>1092500</v>
      </c>
      <c r="J20" t="s">
        <v>194</v>
      </c>
      <c r="K20" s="11">
        <v>160618</v>
      </c>
      <c r="L20"/>
      <c r="M20" s="5" t="s">
        <v>133</v>
      </c>
      <c r="N20" s="11"/>
      <c r="Q20"/>
    </row>
    <row r="21" spans="1:20" x14ac:dyDescent="0.3">
      <c r="A21" s="36"/>
      <c r="D21" s="13"/>
      <c r="E21" s="19"/>
      <c r="F21" s="13"/>
      <c r="H21" s="9"/>
      <c r="J21" t="s">
        <v>112</v>
      </c>
      <c r="K21" s="11">
        <v>45292</v>
      </c>
      <c r="M21" s="56" t="s">
        <v>121</v>
      </c>
      <c r="N21" s="57">
        <v>345</v>
      </c>
    </row>
    <row r="22" spans="1:20" x14ac:dyDescent="0.3">
      <c r="A22" s="9" t="s">
        <v>13</v>
      </c>
      <c r="C22" s="21">
        <f>C20+C15+C14+C13+C8</f>
        <v>2074997</v>
      </c>
      <c r="D22" s="13"/>
      <c r="E22" s="19">
        <f>E20+E15+E14+E13+E8</f>
        <v>1623500</v>
      </c>
      <c r="F22" s="13"/>
      <c r="G22" s="13">
        <f>G8+G13+G20</f>
        <v>1811766</v>
      </c>
      <c r="H22" s="9"/>
      <c r="I22" s="21">
        <f>I8+I13+I20</f>
        <v>2381500</v>
      </c>
      <c r="J22" t="s">
        <v>113</v>
      </c>
      <c r="K22" s="11">
        <v>20000</v>
      </c>
      <c r="M22" s="56" t="s">
        <v>122</v>
      </c>
      <c r="N22" s="57">
        <v>22477.7</v>
      </c>
      <c r="Q22" s="5"/>
    </row>
    <row r="23" spans="1:20" s="5" customFormat="1" x14ac:dyDescent="0.3">
      <c r="A23" s="3">
        <f>C22-2074997</f>
        <v>0</v>
      </c>
      <c r="B23" s="29"/>
      <c r="C23" s="11"/>
      <c r="D23" s="11"/>
      <c r="E23" s="17"/>
      <c r="F23" s="11"/>
      <c r="G23" s="3"/>
      <c r="H23" s="11"/>
      <c r="I23" s="11"/>
      <c r="J23" t="s">
        <v>114</v>
      </c>
      <c r="K23" s="11">
        <v>11600</v>
      </c>
      <c r="L23"/>
      <c r="M23" s="56" t="s">
        <v>69</v>
      </c>
      <c r="N23" s="57">
        <v>63250</v>
      </c>
      <c r="Q23" s="11"/>
      <c r="T23" s="41"/>
    </row>
    <row r="24" spans="1:20" s="11" customFormat="1" x14ac:dyDescent="0.3">
      <c r="A24" s="9"/>
      <c r="B24" s="2"/>
      <c r="C24" s="7" t="s">
        <v>14</v>
      </c>
      <c r="D24" s="16"/>
      <c r="E24" s="35" t="s">
        <v>15</v>
      </c>
      <c r="F24" s="16"/>
      <c r="G24" s="7" t="s">
        <v>14</v>
      </c>
      <c r="H24" s="16"/>
      <c r="I24" s="7" t="s">
        <v>2</v>
      </c>
      <c r="J24" t="s">
        <v>115</v>
      </c>
      <c r="K24" s="11">
        <v>19671</v>
      </c>
      <c r="L24"/>
      <c r="M24" s="56" t="s">
        <v>123</v>
      </c>
      <c r="N24" s="57">
        <v>12801.25</v>
      </c>
      <c r="Q24"/>
    </row>
    <row r="25" spans="1:20" x14ac:dyDescent="0.3">
      <c r="A25" s="9" t="s">
        <v>16</v>
      </c>
      <c r="C25" s="37" t="s">
        <v>85</v>
      </c>
      <c r="D25" s="8"/>
      <c r="E25" s="37">
        <v>2021</v>
      </c>
      <c r="F25" s="37"/>
      <c r="G25" s="37" t="s">
        <v>84</v>
      </c>
      <c r="H25" s="13"/>
      <c r="I25" s="8">
        <v>2022</v>
      </c>
      <c r="J25" t="s">
        <v>197</v>
      </c>
      <c r="K25" s="11">
        <v>8750</v>
      </c>
      <c r="M25" s="56" t="s">
        <v>67</v>
      </c>
      <c r="N25" s="57">
        <v>182430.75</v>
      </c>
      <c r="Q25" s="4"/>
    </row>
    <row r="26" spans="1:20" s="4" customFormat="1" x14ac:dyDescent="0.3">
      <c r="A26" s="4" t="s">
        <v>17</v>
      </c>
      <c r="B26" s="2"/>
      <c r="C26" s="3">
        <v>51107</v>
      </c>
      <c r="D26" s="3"/>
      <c r="E26" s="17">
        <v>16000</v>
      </c>
      <c r="G26" s="3">
        <f>9812.5+9327</f>
        <v>19139.5</v>
      </c>
      <c r="I26" s="3">
        <v>73000</v>
      </c>
      <c r="J26" t="s">
        <v>116</v>
      </c>
      <c r="K26" s="11">
        <v>9798</v>
      </c>
      <c r="L26"/>
      <c r="M26" s="56" t="s">
        <v>66</v>
      </c>
      <c r="N26" s="58">
        <v>235316</v>
      </c>
      <c r="T26" s="3"/>
    </row>
    <row r="27" spans="1:20" s="4" customFormat="1" x14ac:dyDescent="0.3">
      <c r="A27" s="4" t="s">
        <v>18</v>
      </c>
      <c r="B27" s="2"/>
      <c r="C27" s="17">
        <f>29222+11205</f>
        <v>40427</v>
      </c>
      <c r="D27" s="3"/>
      <c r="E27" s="17">
        <f>65000+4000</f>
        <v>69000</v>
      </c>
      <c r="F27" s="14"/>
      <c r="G27" s="3">
        <f>22930-3990</f>
        <v>18940</v>
      </c>
      <c r="H27" s="17"/>
      <c r="I27" s="3">
        <v>84500</v>
      </c>
      <c r="J27" t="s">
        <v>198</v>
      </c>
      <c r="K27" s="42">
        <v>14400</v>
      </c>
      <c r="L27"/>
      <c r="M27" s="56"/>
      <c r="N27" s="59">
        <f>SUM(N21:N26)</f>
        <v>516620.7</v>
      </c>
      <c r="O27" s="11"/>
      <c r="P27" s="11"/>
      <c r="T27" s="3"/>
    </row>
    <row r="28" spans="1:20" s="4" customFormat="1" x14ac:dyDescent="0.3">
      <c r="A28" s="4" t="s">
        <v>51</v>
      </c>
      <c r="B28" s="2">
        <v>4</v>
      </c>
      <c r="C28" s="3">
        <f>20775+571475+188+18200+12000+90087+113117-51107</f>
        <v>774735</v>
      </c>
      <c r="D28" s="17"/>
      <c r="E28" s="17">
        <f>90000+343500+230000+20000+17000+18000+5000</f>
        <v>723500</v>
      </c>
      <c r="F28" s="17"/>
      <c r="G28" s="3">
        <f>72821+28900+65458+197833+39990+16800+15826+15390+6250+7770+13860+10700</f>
        <v>491598</v>
      </c>
      <c r="H28" s="17"/>
      <c r="I28" s="3">
        <v>899500</v>
      </c>
      <c r="J28"/>
      <c r="K28" s="41">
        <f>SUM(K17:K27)</f>
        <v>580208</v>
      </c>
      <c r="L28"/>
      <c r="M28"/>
      <c r="N28" s="11"/>
      <c r="R28" s="31"/>
      <c r="T28" s="3"/>
    </row>
    <row r="29" spans="1:20" s="4" customFormat="1" x14ac:dyDescent="0.3">
      <c r="A29" s="4" t="s">
        <v>52</v>
      </c>
      <c r="B29" s="2">
        <v>5</v>
      </c>
      <c r="C29" s="3">
        <v>516621</v>
      </c>
      <c r="D29" s="17"/>
      <c r="E29" s="17">
        <f>417500+2500</f>
        <v>420000</v>
      </c>
      <c r="F29" s="17"/>
      <c r="G29" s="3">
        <v>355374</v>
      </c>
      <c r="H29" s="17"/>
      <c r="I29" s="3">
        <v>273000</v>
      </c>
      <c r="K29" s="3"/>
      <c r="L29"/>
      <c r="M29" s="13" t="s">
        <v>74</v>
      </c>
      <c r="N29" s="11"/>
      <c r="T29" s="3"/>
    </row>
    <row r="30" spans="1:20" s="4" customFormat="1" x14ac:dyDescent="0.3">
      <c r="A30" s="4" t="s">
        <v>19</v>
      </c>
      <c r="B30" s="2"/>
      <c r="C30" s="3"/>
      <c r="D30" s="17"/>
      <c r="E30" s="17">
        <v>16000</v>
      </c>
      <c r="F30" s="17"/>
      <c r="G30" s="3">
        <v>11681</v>
      </c>
      <c r="H30" s="17"/>
      <c r="I30" s="3">
        <v>20000</v>
      </c>
      <c r="J30" s="5" t="s">
        <v>214</v>
      </c>
      <c r="K30" s="41"/>
      <c r="L30"/>
      <c r="M30" t="s">
        <v>77</v>
      </c>
      <c r="N30" s="11">
        <v>9710</v>
      </c>
    </row>
    <row r="31" spans="1:20" s="4" customFormat="1" x14ac:dyDescent="0.3">
      <c r="A31" s="4" t="s">
        <v>20</v>
      </c>
      <c r="B31" s="2">
        <v>6</v>
      </c>
      <c r="C31" s="3">
        <f>9710+586+15260+4124+53335</f>
        <v>83015</v>
      </c>
      <c r="D31" s="17"/>
      <c r="E31" s="17">
        <f>11000+14500+5000+10000+5000+5000+15000</f>
        <v>65500</v>
      </c>
      <c r="F31" s="18"/>
      <c r="G31" s="3">
        <f>425446+6000+3839+15499+13715+2625+23606</f>
        <v>490730</v>
      </c>
      <c r="H31" s="18"/>
      <c r="I31" s="3">
        <f>50000+150000+150000</f>
        <v>350000</v>
      </c>
      <c r="J31" s="4" t="s">
        <v>215</v>
      </c>
      <c r="K31" s="3">
        <v>-12708</v>
      </c>
      <c r="L31"/>
      <c r="M31" s="84" t="s">
        <v>124</v>
      </c>
      <c r="N31" s="11">
        <f>15260+586</f>
        <v>15846</v>
      </c>
    </row>
    <row r="32" spans="1:20" s="4" customFormat="1" x14ac:dyDescent="0.3">
      <c r="A32" s="4" t="s">
        <v>21</v>
      </c>
      <c r="B32" s="2"/>
      <c r="C32" s="3"/>
      <c r="D32" s="17"/>
      <c r="E32" s="17">
        <v>60000</v>
      </c>
      <c r="G32" s="3"/>
      <c r="I32" s="3">
        <v>60000</v>
      </c>
      <c r="J32" s="4" t="s">
        <v>216</v>
      </c>
      <c r="K32" s="3">
        <v>72355</v>
      </c>
      <c r="L32"/>
      <c r="M32" t="s">
        <v>125</v>
      </c>
      <c r="N32" s="11">
        <v>4124</v>
      </c>
    </row>
    <row r="33" spans="1:19" s="4" customFormat="1" x14ac:dyDescent="0.3">
      <c r="A33" s="4" t="s">
        <v>230</v>
      </c>
      <c r="B33" s="2"/>
      <c r="C33" s="3"/>
      <c r="D33" s="17"/>
      <c r="E33" s="17"/>
      <c r="G33" s="3"/>
      <c r="I33" s="3">
        <v>70000</v>
      </c>
      <c r="J33" s="30" t="s">
        <v>95</v>
      </c>
      <c r="K33" s="3">
        <v>2482.8000000000002</v>
      </c>
      <c r="L33"/>
      <c r="M33" t="s">
        <v>126</v>
      </c>
      <c r="N33" s="42">
        <v>53335</v>
      </c>
    </row>
    <row r="34" spans="1:19" s="4" customFormat="1" x14ac:dyDescent="0.3">
      <c r="A34" s="4" t="s">
        <v>22</v>
      </c>
      <c r="B34" s="2">
        <v>7</v>
      </c>
      <c r="C34" s="3">
        <v>122730</v>
      </c>
      <c r="D34" s="17"/>
      <c r="E34" s="17">
        <v>57000</v>
      </c>
      <c r="G34" s="3">
        <v>53164</v>
      </c>
      <c r="I34" s="3">
        <v>122700</v>
      </c>
      <c r="J34" s="4" t="s">
        <v>96</v>
      </c>
      <c r="K34" s="10">
        <v>11820.71</v>
      </c>
      <c r="L34"/>
      <c r="M34"/>
      <c r="N34" s="41">
        <f>SUM(N30:N33)</f>
        <v>83015</v>
      </c>
    </row>
    <row r="35" spans="1:19" s="4" customFormat="1" x14ac:dyDescent="0.3">
      <c r="A35" s="4" t="s">
        <v>63</v>
      </c>
      <c r="B35" s="2">
        <v>8</v>
      </c>
      <c r="C35" s="3">
        <f>56500+21927+11589+11804+4188+2730+15147</f>
        <v>123885</v>
      </c>
      <c r="D35" s="17"/>
      <c r="E35" s="17">
        <f>97850+10500+10000+102000+2000+10000+2000</f>
        <v>234350</v>
      </c>
      <c r="F35" s="17"/>
      <c r="G35" s="3">
        <f>73190+29664-10700+13619+986+7563+4158+4104+1240+2616</f>
        <v>126440</v>
      </c>
      <c r="H35" s="17"/>
      <c r="I35" s="3">
        <v>336300</v>
      </c>
      <c r="J35" s="4" t="s">
        <v>97</v>
      </c>
      <c r="K35" s="3">
        <v>33912</v>
      </c>
      <c r="L35"/>
      <c r="M35"/>
      <c r="N35"/>
    </row>
    <row r="36" spans="1:19" s="4" customFormat="1" x14ac:dyDescent="0.3">
      <c r="A36" s="4" t="s">
        <v>50</v>
      </c>
      <c r="B36" s="2"/>
      <c r="C36" s="3">
        <v>79410</v>
      </c>
      <c r="D36" s="17"/>
      <c r="E36" s="17">
        <v>80000</v>
      </c>
      <c r="F36" s="17"/>
      <c r="G36" s="3">
        <v>48750</v>
      </c>
      <c r="H36" s="17"/>
      <c r="I36" s="3">
        <v>125000</v>
      </c>
      <c r="J36" s="4" t="s">
        <v>98</v>
      </c>
      <c r="K36" s="3">
        <v>5155</v>
      </c>
      <c r="L36"/>
      <c r="M36" s="5" t="s">
        <v>129</v>
      </c>
      <c r="N36" s="61"/>
    </row>
    <row r="37" spans="1:19" s="4" customFormat="1" x14ac:dyDescent="0.3">
      <c r="A37" s="4" t="s">
        <v>53</v>
      </c>
      <c r="B37" s="2"/>
      <c r="C37" s="17">
        <v>16809</v>
      </c>
      <c r="D37" s="17"/>
      <c r="E37" s="17">
        <f>15000+20000</f>
        <v>35000</v>
      </c>
      <c r="F37" s="17"/>
      <c r="G37" s="17">
        <f>20727</f>
        <v>20727</v>
      </c>
      <c r="H37" s="17"/>
      <c r="I37" s="3"/>
      <c r="J37" s="4" t="s">
        <v>99</v>
      </c>
      <c r="K37" s="3">
        <v>10853</v>
      </c>
      <c r="L37"/>
      <c r="M37" t="s">
        <v>131</v>
      </c>
      <c r="N37" s="61">
        <f>2886.92*12</f>
        <v>34643.040000000001</v>
      </c>
    </row>
    <row r="38" spans="1:19" s="4" customFormat="1" x14ac:dyDescent="0.3">
      <c r="A38" s="4" t="s">
        <v>27</v>
      </c>
      <c r="B38" s="2"/>
      <c r="C38" s="14">
        <v>13884</v>
      </c>
      <c r="D38" s="93"/>
      <c r="E38" s="94"/>
      <c r="F38" s="93" t="s">
        <v>28</v>
      </c>
      <c r="G38" s="14">
        <v>14815</v>
      </c>
      <c r="H38" s="17"/>
      <c r="I38" s="3">
        <v>15000</v>
      </c>
      <c r="J38" s="4" t="s">
        <v>100</v>
      </c>
      <c r="K38" s="3">
        <v>1000</v>
      </c>
      <c r="L38"/>
      <c r="M38" t="s">
        <v>132</v>
      </c>
      <c r="N38" s="61">
        <v>36315</v>
      </c>
    </row>
    <row r="39" spans="1:19" s="4" customFormat="1" x14ac:dyDescent="0.3">
      <c r="A39" s="4" t="s">
        <v>23</v>
      </c>
      <c r="B39" s="2"/>
      <c r="C39" s="3"/>
      <c r="D39" s="17"/>
      <c r="E39" s="17"/>
      <c r="F39" s="17"/>
      <c r="G39" s="3">
        <v>102878</v>
      </c>
      <c r="H39" s="17"/>
      <c r="I39" s="3"/>
      <c r="J39" s="4" t="s">
        <v>101</v>
      </c>
      <c r="K39" s="3">
        <v>2000</v>
      </c>
      <c r="L39"/>
      <c r="M39" t="s">
        <v>130</v>
      </c>
      <c r="N39" s="54">
        <f>40600+11172</f>
        <v>51772</v>
      </c>
      <c r="Q39" s="9"/>
    </row>
    <row r="40" spans="1:19" s="9" customFormat="1" x14ac:dyDescent="0.3">
      <c r="A40" s="4" t="s">
        <v>24</v>
      </c>
      <c r="B40" s="2">
        <v>9</v>
      </c>
      <c r="C40" s="12">
        <f>12780+5090+66423+5840+500+21360-500+4142</f>
        <v>115635</v>
      </c>
      <c r="D40" s="14"/>
      <c r="E40" s="15">
        <v>125200</v>
      </c>
      <c r="F40" s="17"/>
      <c r="G40" s="15">
        <f>54478+26201+2350+5558+30000+1650+22091-1</f>
        <v>142327</v>
      </c>
      <c r="H40" s="19"/>
      <c r="I40" s="12">
        <v>325000</v>
      </c>
      <c r="J40" s="4" t="s">
        <v>102</v>
      </c>
      <c r="K40" s="3">
        <v>50000</v>
      </c>
      <c r="L40"/>
      <c r="M40"/>
      <c r="N40" s="41">
        <f>SUM(N37:N39)</f>
        <v>122730.04000000001</v>
      </c>
      <c r="Q40" s="4"/>
    </row>
    <row r="41" spans="1:19" s="4" customFormat="1" x14ac:dyDescent="0.3">
      <c r="A41" s="9" t="s">
        <v>25</v>
      </c>
      <c r="B41" s="2"/>
      <c r="C41" s="13">
        <f>SUM(C26:C40)</f>
        <v>1938258</v>
      </c>
      <c r="D41" s="19"/>
      <c r="E41" s="19">
        <f>SUM(E26:E40)</f>
        <v>1901550</v>
      </c>
      <c r="F41" s="19"/>
      <c r="G41" s="13">
        <f>SUM(G26:G40)+1</f>
        <v>1896564.5</v>
      </c>
      <c r="H41" s="17"/>
      <c r="I41" s="13">
        <f>SUM(I26:I40)</f>
        <v>2754000</v>
      </c>
      <c r="J41" s="4" t="s">
        <v>103</v>
      </c>
      <c r="K41" s="3">
        <f>1200+17885</f>
        <v>19085</v>
      </c>
      <c r="L41"/>
      <c r="M41"/>
      <c r="N41"/>
      <c r="Q41"/>
    </row>
    <row r="42" spans="1:19" x14ac:dyDescent="0.3">
      <c r="D42" s="4"/>
      <c r="E42" s="19"/>
      <c r="F42" s="17"/>
      <c r="H42" s="13"/>
      <c r="J42" s="4" t="s">
        <v>104</v>
      </c>
      <c r="K42" s="3">
        <v>705.31</v>
      </c>
      <c r="M42" s="9"/>
      <c r="N42" s="9"/>
    </row>
    <row r="43" spans="1:19" x14ac:dyDescent="0.3">
      <c r="A43" s="9" t="s">
        <v>26</v>
      </c>
      <c r="C43" s="13">
        <f>C22-C41</f>
        <v>136739</v>
      </c>
      <c r="D43" s="13"/>
      <c r="E43" s="19">
        <f>E22-E41</f>
        <v>-278050</v>
      </c>
      <c r="F43" s="13"/>
      <c r="G43" s="13">
        <f>G22-G41</f>
        <v>-84798.5</v>
      </c>
      <c r="I43" s="19">
        <f>I22-I41</f>
        <v>-372500</v>
      </c>
      <c r="J43" s="4" t="s">
        <v>105</v>
      </c>
      <c r="K43" s="3">
        <v>1000</v>
      </c>
      <c r="M43" s="4"/>
      <c r="N43" s="4"/>
      <c r="P43"/>
    </row>
    <row r="44" spans="1:19" x14ac:dyDescent="0.3">
      <c r="E44" s="33"/>
      <c r="J44" s="4" t="s">
        <v>107</v>
      </c>
      <c r="K44" s="3">
        <v>13500</v>
      </c>
      <c r="S44" s="5"/>
    </row>
    <row r="45" spans="1:19" x14ac:dyDescent="0.3">
      <c r="A45" s="9" t="s">
        <v>83</v>
      </c>
      <c r="J45" s="4" t="s">
        <v>106</v>
      </c>
      <c r="K45" s="3">
        <v>9900</v>
      </c>
    </row>
    <row r="46" spans="1:19" x14ac:dyDescent="0.3">
      <c r="A46" s="4" t="s">
        <v>195</v>
      </c>
      <c r="C46" s="12">
        <v>4686</v>
      </c>
      <c r="G46" s="12">
        <v>2517</v>
      </c>
      <c r="H46" s="51"/>
      <c r="I46" s="14"/>
      <c r="J46" s="4" t="s">
        <v>108</v>
      </c>
      <c r="K46" s="10">
        <v>6242.45</v>
      </c>
    </row>
    <row r="47" spans="1:19" x14ac:dyDescent="0.3">
      <c r="A47" s="4" t="s">
        <v>29</v>
      </c>
      <c r="C47" s="13">
        <f>C46</f>
        <v>4686</v>
      </c>
      <c r="E47" s="4"/>
      <c r="F47" s="4"/>
      <c r="G47" s="13">
        <f>G46</f>
        <v>2517</v>
      </c>
      <c r="H47" s="10"/>
      <c r="I47" s="14"/>
      <c r="J47" s="4" t="s">
        <v>109</v>
      </c>
      <c r="K47" s="12">
        <v>1250</v>
      </c>
    </row>
    <row r="48" spans="1:19" x14ac:dyDescent="0.3">
      <c r="E48" s="4"/>
      <c r="F48" s="4"/>
      <c r="H48" s="10"/>
      <c r="I48" s="14"/>
      <c r="J48" s="4"/>
      <c r="K48" s="13">
        <f>SUM(K31:K47)</f>
        <v>228553.27000000002</v>
      </c>
    </row>
    <row r="49" spans="1:14" ht="15" customHeight="1" x14ac:dyDescent="0.3">
      <c r="A49" s="9" t="s">
        <v>86</v>
      </c>
      <c r="C49" s="13">
        <f>C43+C47+1</f>
        <v>141426</v>
      </c>
      <c r="D49" s="13"/>
      <c r="E49" s="9"/>
      <c r="F49" s="9"/>
      <c r="G49" s="13">
        <f>G43+G47</f>
        <v>-82281.5</v>
      </c>
      <c r="H49" s="10"/>
      <c r="I49" s="14"/>
      <c r="J49" s="4"/>
      <c r="K49" s="13"/>
    </row>
    <row r="50" spans="1:14" ht="22.8" x14ac:dyDescent="0.4">
      <c r="A50" s="1" t="s">
        <v>217</v>
      </c>
      <c r="D50" s="4"/>
      <c r="E50" s="4"/>
      <c r="F50" s="1"/>
      <c r="G50" s="10"/>
      <c r="H50"/>
    </row>
    <row r="51" spans="1:14" x14ac:dyDescent="0.3">
      <c r="D51"/>
      <c r="E51"/>
      <c r="F51"/>
      <c r="G51" s="53"/>
      <c r="H51"/>
      <c r="J51" s="5" t="s">
        <v>159</v>
      </c>
      <c r="M51" s="5" t="s">
        <v>146</v>
      </c>
      <c r="N51" s="11"/>
    </row>
    <row r="52" spans="1:14" x14ac:dyDescent="0.3">
      <c r="D52"/>
      <c r="E52"/>
      <c r="F52"/>
      <c r="G52" s="53"/>
      <c r="H52"/>
      <c r="J52" t="s">
        <v>127</v>
      </c>
      <c r="K52" s="11">
        <v>21750</v>
      </c>
      <c r="M52" t="s">
        <v>111</v>
      </c>
      <c r="N52" s="48">
        <v>69825</v>
      </c>
    </row>
    <row r="53" spans="1:14" x14ac:dyDescent="0.3">
      <c r="A53" s="9" t="s">
        <v>30</v>
      </c>
      <c r="C53" s="37" t="s">
        <v>85</v>
      </c>
      <c r="D53"/>
      <c r="E53" s="16"/>
      <c r="F53"/>
      <c r="G53" s="37" t="s">
        <v>84</v>
      </c>
      <c r="H53"/>
      <c r="J53" t="s">
        <v>67</v>
      </c>
      <c r="K53" s="11">
        <v>40000</v>
      </c>
      <c r="M53" t="s">
        <v>202</v>
      </c>
      <c r="N53" s="48">
        <v>2433</v>
      </c>
    </row>
    <row r="54" spans="1:14" x14ac:dyDescent="0.3">
      <c r="A54" s="9" t="s">
        <v>31</v>
      </c>
      <c r="D54"/>
      <c r="E54"/>
      <c r="F54"/>
      <c r="G54" s="10"/>
      <c r="H54"/>
      <c r="J54" t="s">
        <v>66</v>
      </c>
      <c r="K54" s="11">
        <v>23000</v>
      </c>
      <c r="M54" t="s">
        <v>201</v>
      </c>
      <c r="N54" s="67">
        <v>90997</v>
      </c>
    </row>
    <row r="55" spans="1:14" x14ac:dyDescent="0.3">
      <c r="A55" s="4" t="s">
        <v>89</v>
      </c>
      <c r="B55" s="2">
        <v>10</v>
      </c>
      <c r="C55" s="3">
        <v>53019</v>
      </c>
      <c r="D55"/>
      <c r="E55"/>
      <c r="F55"/>
      <c r="G55" s="3">
        <v>11205</v>
      </c>
      <c r="H55"/>
      <c r="J55" t="s">
        <v>69</v>
      </c>
      <c r="K55" s="11">
        <v>16000</v>
      </c>
      <c r="N55" s="68">
        <f>SUM(N52:N54)</f>
        <v>163255</v>
      </c>
    </row>
    <row r="56" spans="1:14" x14ac:dyDescent="0.3">
      <c r="A56" s="4" t="s">
        <v>32</v>
      </c>
      <c r="B56" s="2">
        <v>11</v>
      </c>
      <c r="C56" s="3">
        <v>73880</v>
      </c>
      <c r="D56"/>
      <c r="E56"/>
      <c r="F56"/>
      <c r="G56" s="3">
        <f>125400-100</f>
        <v>125300</v>
      </c>
      <c r="H56"/>
      <c r="J56" t="s">
        <v>128</v>
      </c>
      <c r="K56" s="42">
        <v>3500</v>
      </c>
      <c r="N56" s="34"/>
    </row>
    <row r="57" spans="1:14" x14ac:dyDescent="0.3">
      <c r="A57" s="4" t="s">
        <v>64</v>
      </c>
      <c r="B57" s="2">
        <v>12</v>
      </c>
      <c r="C57" s="3">
        <f>160822+2433</f>
        <v>163255</v>
      </c>
      <c r="D57"/>
      <c r="E57"/>
      <c r="F57"/>
      <c r="G57" s="3">
        <v>338144</v>
      </c>
      <c r="H57"/>
      <c r="K57" s="41">
        <f>SUM(K52:K56)</f>
        <v>104250</v>
      </c>
      <c r="M57" s="5" t="s">
        <v>75</v>
      </c>
    </row>
    <row r="58" spans="1:14" x14ac:dyDescent="0.3">
      <c r="A58" s="4" t="s">
        <v>33</v>
      </c>
      <c r="D58"/>
      <c r="E58"/>
      <c r="F58"/>
      <c r="G58" s="17">
        <v>3490</v>
      </c>
      <c r="H58"/>
      <c r="J58" s="9" t="s">
        <v>93</v>
      </c>
      <c r="K58" s="3"/>
      <c r="M58" t="s">
        <v>76</v>
      </c>
    </row>
    <row r="59" spans="1:14" x14ac:dyDescent="0.3">
      <c r="A59" s="22" t="s">
        <v>34</v>
      </c>
      <c r="C59" s="12">
        <v>3235131</v>
      </c>
      <c r="D59"/>
      <c r="E59"/>
      <c r="F59"/>
      <c r="G59" s="12">
        <f>2584986-3490</f>
        <v>2581496</v>
      </c>
      <c r="H59"/>
      <c r="J59" s="4" t="s">
        <v>91</v>
      </c>
      <c r="K59" s="3">
        <v>3000</v>
      </c>
      <c r="N59" s="49"/>
    </row>
    <row r="60" spans="1:14" x14ac:dyDescent="0.3">
      <c r="A60" s="23" t="s">
        <v>35</v>
      </c>
      <c r="C60" s="13">
        <f>SUM(C55:C59)</f>
        <v>3525285</v>
      </c>
      <c r="D60"/>
      <c r="E60" s="27"/>
      <c r="F60"/>
      <c r="G60" s="13">
        <f>SUM(G55:G59)</f>
        <v>3059635</v>
      </c>
      <c r="H60"/>
      <c r="J60" s="4" t="s">
        <v>92</v>
      </c>
      <c r="K60" s="12">
        <v>1500</v>
      </c>
      <c r="M60" s="5" t="s">
        <v>78</v>
      </c>
    </row>
    <row r="61" spans="1:14" x14ac:dyDescent="0.3">
      <c r="D61"/>
      <c r="E61"/>
      <c r="F61"/>
      <c r="G61" s="10"/>
      <c r="H61"/>
      <c r="J61" s="4"/>
      <c r="K61" s="13">
        <f>SUM(K59:K60)</f>
        <v>4500</v>
      </c>
      <c r="M61" s="70" t="s">
        <v>158</v>
      </c>
      <c r="N61" s="11">
        <v>17836</v>
      </c>
    </row>
    <row r="62" spans="1:14" ht="15" thickBot="1" x14ac:dyDescent="0.35">
      <c r="A62" s="9" t="s">
        <v>36</v>
      </c>
      <c r="C62" s="28">
        <f>C60</f>
        <v>3525285</v>
      </c>
      <c r="D62"/>
      <c r="E62" s="24"/>
      <c r="F62"/>
      <c r="G62" s="28">
        <f>G60</f>
        <v>3059635</v>
      </c>
      <c r="H62"/>
      <c r="J62" s="98"/>
      <c r="K62" s="99"/>
      <c r="M62" t="s">
        <v>22</v>
      </c>
      <c r="N62" s="11">
        <v>36315</v>
      </c>
    </row>
    <row r="63" spans="1:14" x14ac:dyDescent="0.3">
      <c r="D63"/>
      <c r="E63"/>
      <c r="F63"/>
      <c r="G63" s="10"/>
      <c r="H63"/>
      <c r="J63" s="5" t="s">
        <v>68</v>
      </c>
      <c r="M63" t="s">
        <v>147</v>
      </c>
      <c r="N63" s="11">
        <v>6390</v>
      </c>
    </row>
    <row r="64" spans="1:14" x14ac:dyDescent="0.3">
      <c r="A64" s="23" t="s">
        <v>37</v>
      </c>
      <c r="D64"/>
      <c r="E64"/>
      <c r="F64"/>
      <c r="G64" s="10"/>
      <c r="H64"/>
      <c r="J64" s="43" t="s">
        <v>134</v>
      </c>
      <c r="K64" s="3">
        <v>12780</v>
      </c>
      <c r="M64" s="4" t="s">
        <v>149</v>
      </c>
      <c r="N64" s="3">
        <v>2532.31</v>
      </c>
    </row>
    <row r="65" spans="1:18" x14ac:dyDescent="0.3">
      <c r="A65" s="4" t="s">
        <v>38</v>
      </c>
      <c r="C65" s="3">
        <f>G67</f>
        <v>2567213</v>
      </c>
      <c r="D65"/>
      <c r="F65"/>
      <c r="G65" s="3">
        <f>2567213+82281</f>
        <v>2649494</v>
      </c>
      <c r="H65" s="25"/>
      <c r="J65" s="44" t="s">
        <v>135</v>
      </c>
      <c r="K65" s="3">
        <v>5090</v>
      </c>
      <c r="M65" t="s">
        <v>80</v>
      </c>
      <c r="N65" s="11">
        <v>2433</v>
      </c>
      <c r="R65" s="27"/>
    </row>
    <row r="66" spans="1:18" x14ac:dyDescent="0.3">
      <c r="A66" s="4" t="s">
        <v>94</v>
      </c>
      <c r="C66" s="12">
        <f>C49</f>
        <v>141426</v>
      </c>
      <c r="D66"/>
      <c r="E66"/>
      <c r="F66"/>
      <c r="G66" s="54">
        <v>-82281</v>
      </c>
      <c r="H66"/>
      <c r="J66" s="44" t="s">
        <v>136</v>
      </c>
      <c r="K66" s="17">
        <v>66423</v>
      </c>
      <c r="M66" t="s">
        <v>150</v>
      </c>
      <c r="N66" s="11">
        <v>8312.5</v>
      </c>
    </row>
    <row r="67" spans="1:18" x14ac:dyDescent="0.3">
      <c r="A67" s="9" t="s">
        <v>90</v>
      </c>
      <c r="C67" s="13">
        <f>SUM(C65:C66)</f>
        <v>2708639</v>
      </c>
      <c r="G67" s="13">
        <f>SUM(G65:G66)</f>
        <v>2567213</v>
      </c>
      <c r="J67" s="44" t="s">
        <v>137</v>
      </c>
      <c r="K67" s="3">
        <v>5840</v>
      </c>
      <c r="M67" t="s">
        <v>151</v>
      </c>
      <c r="N67" s="11">
        <v>3329</v>
      </c>
    </row>
    <row r="68" spans="1:18" x14ac:dyDescent="0.3">
      <c r="J68" s="44" t="s">
        <v>138</v>
      </c>
      <c r="K68" s="3">
        <v>21360</v>
      </c>
      <c r="M68" t="s">
        <v>152</v>
      </c>
      <c r="N68" s="11">
        <v>22000</v>
      </c>
      <c r="R68" s="27"/>
    </row>
    <row r="69" spans="1:18" x14ac:dyDescent="0.3">
      <c r="A69" s="23" t="s">
        <v>39</v>
      </c>
      <c r="D69"/>
      <c r="E69" s="20"/>
      <c r="F69"/>
      <c r="G69" s="10"/>
      <c r="J69" s="44" t="s">
        <v>139</v>
      </c>
      <c r="K69" s="12">
        <v>4142</v>
      </c>
      <c r="M69" t="s">
        <v>148</v>
      </c>
      <c r="N69" s="11">
        <v>3779.3</v>
      </c>
    </row>
    <row r="70" spans="1:18" x14ac:dyDescent="0.3">
      <c r="A70" s="22" t="s">
        <v>266</v>
      </c>
      <c r="C70" s="3">
        <v>18250</v>
      </c>
      <c r="D70"/>
      <c r="E70" s="20"/>
      <c r="F70"/>
      <c r="G70" s="3">
        <v>18250</v>
      </c>
      <c r="J70" s="44"/>
      <c r="K70" s="13">
        <f>SUM(K64:K69)</f>
        <v>115635</v>
      </c>
      <c r="M70" t="s">
        <v>153</v>
      </c>
      <c r="N70" s="11">
        <v>6409.2</v>
      </c>
    </row>
    <row r="71" spans="1:18" x14ac:dyDescent="0.3">
      <c r="A71" s="4" t="s">
        <v>40</v>
      </c>
      <c r="B71" s="2">
        <v>13</v>
      </c>
      <c r="C71" s="3">
        <v>798396</v>
      </c>
      <c r="D71"/>
      <c r="E71"/>
      <c r="F71"/>
      <c r="G71" s="3">
        <v>474172</v>
      </c>
      <c r="H71"/>
      <c r="J71" s="44"/>
      <c r="K71" s="3"/>
      <c r="M71" t="s">
        <v>154</v>
      </c>
      <c r="N71" s="53">
        <v>1823.75</v>
      </c>
    </row>
    <row r="72" spans="1:18" x14ac:dyDescent="0.3">
      <c r="A72" s="4" t="s">
        <v>41</v>
      </c>
      <c r="C72" s="12"/>
      <c r="D72"/>
      <c r="E72"/>
      <c r="F72"/>
      <c r="G72" s="12"/>
      <c r="H72"/>
      <c r="J72" s="46" t="s">
        <v>140</v>
      </c>
      <c r="K72" s="3"/>
      <c r="M72" t="s">
        <v>70</v>
      </c>
      <c r="N72" s="69">
        <f>563+210</f>
        <v>773</v>
      </c>
      <c r="Q72" s="5"/>
    </row>
    <row r="73" spans="1:18" x14ac:dyDescent="0.3">
      <c r="A73" s="9" t="s">
        <v>42</v>
      </c>
      <c r="C73" s="13">
        <f>SUM(C70:C72)</f>
        <v>816646</v>
      </c>
      <c r="D73"/>
      <c r="E73" s="5"/>
      <c r="F73"/>
      <c r="G73" s="13">
        <f>SUM(G70:G72)</f>
        <v>492422</v>
      </c>
      <c r="H73"/>
      <c r="J73" s="44" t="s">
        <v>141</v>
      </c>
      <c r="K73" s="3">
        <v>37848</v>
      </c>
      <c r="L73" s="50"/>
      <c r="M73" t="s">
        <v>155</v>
      </c>
      <c r="N73" s="61">
        <v>10500</v>
      </c>
    </row>
    <row r="74" spans="1:18" x14ac:dyDescent="0.3">
      <c r="D74"/>
      <c r="E74" s="27"/>
      <c r="F74"/>
      <c r="H74"/>
      <c r="J74" s="44" t="s">
        <v>142</v>
      </c>
      <c r="K74" s="3">
        <v>8980</v>
      </c>
      <c r="M74" s="81" t="s">
        <v>200</v>
      </c>
      <c r="N74" s="82">
        <v>261509</v>
      </c>
    </row>
    <row r="75" spans="1:18" ht="15" thickBot="1" x14ac:dyDescent="0.35">
      <c r="A75" s="9" t="s">
        <v>43</v>
      </c>
      <c r="C75" s="28">
        <f>C67+C73</f>
        <v>3525285</v>
      </c>
      <c r="D75"/>
      <c r="E75"/>
      <c r="F75"/>
      <c r="G75" s="28">
        <f>G67+G73</f>
        <v>3059635</v>
      </c>
      <c r="H75"/>
      <c r="J75" s="44" t="s">
        <v>143</v>
      </c>
      <c r="K75" s="3">
        <v>4191</v>
      </c>
      <c r="M75" t="s">
        <v>236</v>
      </c>
      <c r="N75" s="11">
        <v>74708</v>
      </c>
    </row>
    <row r="76" spans="1:18" x14ac:dyDescent="0.3">
      <c r="A76" s="9"/>
      <c r="C76" s="122"/>
      <c r="D76"/>
      <c r="E76"/>
      <c r="F76"/>
      <c r="G76" s="122"/>
      <c r="H76"/>
      <c r="J76" s="4" t="s">
        <v>144</v>
      </c>
      <c r="K76" s="12">
        <v>2000</v>
      </c>
      <c r="M76" t="s">
        <v>156</v>
      </c>
      <c r="N76" s="11">
        <v>14746</v>
      </c>
    </row>
    <row r="77" spans="1:18" x14ac:dyDescent="0.3">
      <c r="A77" s="9"/>
      <c r="C77" s="122"/>
      <c r="D77"/>
      <c r="E77"/>
      <c r="F77"/>
      <c r="G77" s="122"/>
      <c r="H77"/>
      <c r="K77" s="21">
        <f>SUM(K73:K76)</f>
        <v>53019</v>
      </c>
      <c r="M77" t="s">
        <v>157</v>
      </c>
      <c r="N77" s="12">
        <f>205000+120000</f>
        <v>325000</v>
      </c>
    </row>
    <row r="78" spans="1:18" x14ac:dyDescent="0.3">
      <c r="A78" s="9"/>
      <c r="C78" s="122"/>
      <c r="D78"/>
      <c r="E78"/>
      <c r="F78"/>
      <c r="G78" s="122"/>
      <c r="H78"/>
      <c r="N78" s="13">
        <f>SUM(N61:N77)</f>
        <v>798396.06</v>
      </c>
    </row>
    <row r="79" spans="1:18" x14ac:dyDescent="0.3">
      <c r="G79" s="10"/>
      <c r="H79"/>
      <c r="J79" s="46" t="s">
        <v>145</v>
      </c>
    </row>
    <row r="80" spans="1:18" x14ac:dyDescent="0.3">
      <c r="A80" s="30" t="s">
        <v>239</v>
      </c>
      <c r="B80" s="9"/>
      <c r="D80"/>
      <c r="E80"/>
      <c r="F80"/>
      <c r="G80" s="11"/>
      <c r="H80"/>
      <c r="J80" s="44" t="s">
        <v>206</v>
      </c>
      <c r="K80" s="63">
        <f>1500+1500+900+900</f>
        <v>4800</v>
      </c>
      <c r="P80" s="3"/>
    </row>
    <row r="81" spans="1:17" x14ac:dyDescent="0.3">
      <c r="J81" s="62" t="s">
        <v>205</v>
      </c>
      <c r="K81" s="64">
        <v>11600</v>
      </c>
      <c r="P81" s="3"/>
    </row>
    <row r="82" spans="1:17" x14ac:dyDescent="0.3">
      <c r="J82" s="44" t="s">
        <v>204</v>
      </c>
      <c r="K82" s="65">
        <f>13845+41535</f>
        <v>55380</v>
      </c>
      <c r="P82" s="3"/>
    </row>
    <row r="83" spans="1:17" x14ac:dyDescent="0.3">
      <c r="J83" t="s">
        <v>203</v>
      </c>
      <c r="K83" s="42">
        <v>2100</v>
      </c>
      <c r="P83" s="3"/>
    </row>
    <row r="84" spans="1:17" x14ac:dyDescent="0.3">
      <c r="B84" s="9"/>
      <c r="D84"/>
      <c r="E84"/>
      <c r="F84"/>
      <c r="G84" s="11"/>
      <c r="H84"/>
      <c r="K84" s="66">
        <f>SUM(K80:K83)</f>
        <v>73880</v>
      </c>
      <c r="P84" s="10"/>
    </row>
    <row r="85" spans="1:17" x14ac:dyDescent="0.3">
      <c r="A85" s="4" t="s">
        <v>54</v>
      </c>
      <c r="B85" s="9"/>
      <c r="C85" s="10" t="s">
        <v>56</v>
      </c>
      <c r="D85"/>
      <c r="E85"/>
      <c r="F85" s="11" t="s">
        <v>88</v>
      </c>
      <c r="H85"/>
      <c r="J85" s="60"/>
      <c r="K85" s="53"/>
      <c r="P85" s="36"/>
    </row>
    <row r="86" spans="1:17" x14ac:dyDescent="0.3">
      <c r="A86" s="4" t="s">
        <v>55</v>
      </c>
      <c r="B86" s="9"/>
      <c r="C86" s="3" t="s">
        <v>59</v>
      </c>
      <c r="D86"/>
      <c r="E86"/>
      <c r="F86" s="11" t="s">
        <v>60</v>
      </c>
      <c r="H86"/>
      <c r="J86" s="60"/>
      <c r="K86" s="53"/>
      <c r="P86"/>
    </row>
    <row r="87" spans="1:17" x14ac:dyDescent="0.3">
      <c r="B87" s="9"/>
      <c r="D87"/>
      <c r="E87" s="55"/>
      <c r="H87"/>
      <c r="J87" s="60"/>
      <c r="K87" s="53"/>
      <c r="N87" s="3"/>
    </row>
    <row r="88" spans="1:17" x14ac:dyDescent="0.3">
      <c r="B88" s="9"/>
      <c r="D88"/>
      <c r="F88" s="11"/>
      <c r="H88"/>
      <c r="J88" s="60"/>
      <c r="K88" s="53"/>
    </row>
    <row r="89" spans="1:17" x14ac:dyDescent="0.3">
      <c r="B89" s="9"/>
      <c r="D89"/>
      <c r="F89" s="11"/>
      <c r="H89"/>
      <c r="J89" s="60"/>
      <c r="K89" s="53"/>
    </row>
    <row r="90" spans="1:17" x14ac:dyDescent="0.3">
      <c r="B90" s="9"/>
      <c r="D90"/>
      <c r="F90" s="11"/>
      <c r="H90"/>
      <c r="K90" s="41"/>
    </row>
    <row r="91" spans="1:17" x14ac:dyDescent="0.3">
      <c r="B91" s="9"/>
      <c r="D91"/>
      <c r="F91" s="11"/>
      <c r="H91"/>
      <c r="J91" s="5"/>
      <c r="K91" s="41"/>
    </row>
    <row r="92" spans="1:17" x14ac:dyDescent="0.3">
      <c r="A92" s="33" t="s">
        <v>61</v>
      </c>
      <c r="B92" s="9"/>
      <c r="C92" s="3" t="s">
        <v>58</v>
      </c>
      <c r="D92"/>
      <c r="F92" s="11" t="s">
        <v>87</v>
      </c>
      <c r="H92"/>
      <c r="Q92" s="26"/>
    </row>
    <row r="93" spans="1:17" x14ac:dyDescent="0.3">
      <c r="A93" s="4" t="s">
        <v>57</v>
      </c>
      <c r="B93" s="9"/>
      <c r="C93" s="3" t="s">
        <v>57</v>
      </c>
      <c r="D93"/>
      <c r="E93"/>
      <c r="F93" s="11" t="s">
        <v>57</v>
      </c>
      <c r="H93"/>
      <c r="J93" s="5"/>
    </row>
    <row r="94" spans="1:17" x14ac:dyDescent="0.3">
      <c r="H94"/>
    </row>
    <row r="95" spans="1:17" x14ac:dyDescent="0.3">
      <c r="H95"/>
    </row>
    <row r="96" spans="1:17" x14ac:dyDescent="0.3">
      <c r="B96" s="9"/>
      <c r="D96"/>
      <c r="E96"/>
      <c r="F96"/>
      <c r="G96" s="11"/>
      <c r="H96"/>
    </row>
    <row r="97" spans="2:8" x14ac:dyDescent="0.3">
      <c r="B97" s="9"/>
      <c r="D97"/>
      <c r="E97"/>
      <c r="F97"/>
      <c r="G97" s="11"/>
      <c r="H97"/>
    </row>
    <row r="98" spans="2:8" x14ac:dyDescent="0.3">
      <c r="B98" s="9"/>
      <c r="D98" s="5"/>
      <c r="F98"/>
      <c r="G98" s="11"/>
      <c r="H98"/>
    </row>
    <row r="99" spans="2:8" x14ac:dyDescent="0.3">
      <c r="B99" s="9"/>
      <c r="D99" s="5"/>
      <c r="F99"/>
      <c r="G99" s="11"/>
      <c r="H99"/>
    </row>
    <row r="100" spans="2:8" x14ac:dyDescent="0.3">
      <c r="B100" s="9"/>
      <c r="D100" s="5"/>
      <c r="F100"/>
      <c r="G100" s="11"/>
      <c r="H100"/>
    </row>
    <row r="101" spans="2:8" x14ac:dyDescent="0.3">
      <c r="B101" s="9"/>
      <c r="D101"/>
      <c r="E101"/>
      <c r="F101"/>
      <c r="G101" s="11"/>
      <c r="H10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4A835-EA4C-46A7-A201-7CFA2FC49054}">
  <sheetPr>
    <pageSetUpPr fitToPage="1"/>
  </sheetPr>
  <dimension ref="A1:V56"/>
  <sheetViews>
    <sheetView tabSelected="1" workbookViewId="0">
      <pane xSplit="2" topLeftCell="D1" activePane="topRight" state="frozen"/>
      <selection pane="topRight" activeCell="D3" sqref="D3:F3"/>
    </sheetView>
  </sheetViews>
  <sheetFormatPr baseColWidth="10" defaultRowHeight="14.4" x14ac:dyDescent="0.3"/>
  <cols>
    <col min="1" max="1" width="4.33203125" style="78" customWidth="1"/>
    <col min="2" max="2" width="6.21875" customWidth="1"/>
    <col min="3" max="3" width="30.21875" customWidth="1"/>
    <col min="4" max="5" width="13.77734375" customWidth="1"/>
    <col min="6" max="6" width="13.77734375" style="30" customWidth="1"/>
    <col min="7" max="7" width="2.5546875" style="81" customWidth="1"/>
    <col min="8" max="10" width="13.77734375" style="81" customWidth="1"/>
    <col min="11" max="11" width="2.5546875" customWidth="1"/>
    <col min="12" max="14" width="13.77734375" customWidth="1"/>
    <col min="15" max="15" width="11.88671875" customWidth="1"/>
    <col min="16" max="16" width="22.88671875" customWidth="1"/>
    <col min="17" max="17" width="9.5546875" customWidth="1"/>
    <col min="18" max="18" width="9.88671875" customWidth="1"/>
    <col min="19" max="19" width="7.6640625" customWidth="1"/>
    <col min="20" max="20" width="13.88671875" style="4" customWidth="1"/>
    <col min="21" max="21" width="12.88671875" customWidth="1"/>
  </cols>
  <sheetData>
    <row r="1" spans="1:22" ht="18" x14ac:dyDescent="0.35">
      <c r="C1" s="142" t="s">
        <v>218</v>
      </c>
      <c r="D1" s="142"/>
      <c r="E1" s="142"/>
      <c r="F1" s="142"/>
      <c r="G1" s="142"/>
      <c r="H1" s="142"/>
      <c r="I1" s="142"/>
      <c r="J1" s="142"/>
      <c r="P1" t="s">
        <v>258</v>
      </c>
    </row>
    <row r="2" spans="1:22" ht="15" thickBot="1" x14ac:dyDescent="0.35">
      <c r="P2" t="s">
        <v>267</v>
      </c>
    </row>
    <row r="3" spans="1:22" ht="19.2" customHeight="1" thickBot="1" x14ac:dyDescent="0.35">
      <c r="A3" s="100"/>
      <c r="B3" s="101">
        <v>2021</v>
      </c>
      <c r="C3" s="102" t="s">
        <v>196</v>
      </c>
      <c r="D3" s="143" t="s">
        <v>3</v>
      </c>
      <c r="E3" s="144"/>
      <c r="F3" s="145"/>
      <c r="G3" s="127"/>
      <c r="H3" s="146" t="s">
        <v>16</v>
      </c>
      <c r="I3" s="147"/>
      <c r="J3" s="148"/>
      <c r="K3" s="131"/>
      <c r="L3" s="149" t="s">
        <v>161</v>
      </c>
      <c r="M3" s="150"/>
      <c r="N3" s="151"/>
      <c r="O3" s="137"/>
    </row>
    <row r="4" spans="1:22" s="80" customFormat="1" ht="18" customHeight="1" x14ac:dyDescent="0.3">
      <c r="A4" s="85" t="s">
        <v>4</v>
      </c>
      <c r="B4" s="86" t="s">
        <v>193</v>
      </c>
      <c r="C4" s="118" t="s">
        <v>185</v>
      </c>
      <c r="D4" s="87" t="s">
        <v>1</v>
      </c>
      <c r="E4" s="134" t="s">
        <v>160</v>
      </c>
      <c r="F4" s="107" t="s">
        <v>162</v>
      </c>
      <c r="G4" s="133"/>
      <c r="H4" s="140" t="s">
        <v>1</v>
      </c>
      <c r="I4" s="140" t="s">
        <v>160</v>
      </c>
      <c r="J4" s="117" t="s">
        <v>162</v>
      </c>
      <c r="K4" s="132"/>
      <c r="L4" s="117" t="s">
        <v>1</v>
      </c>
      <c r="M4" s="117" t="s">
        <v>160</v>
      </c>
      <c r="N4" s="117" t="s">
        <v>162</v>
      </c>
      <c r="O4" s="138"/>
      <c r="P4" s="5" t="s">
        <v>228</v>
      </c>
      <c r="Q4" s="9" t="s">
        <v>259</v>
      </c>
      <c r="R4" s="126" t="s">
        <v>260</v>
      </c>
      <c r="S4"/>
      <c r="T4" s="4"/>
      <c r="U4"/>
      <c r="V4"/>
    </row>
    <row r="5" spans="1:22" x14ac:dyDescent="0.3">
      <c r="A5" s="79"/>
      <c r="B5" s="113"/>
      <c r="C5" s="113" t="s">
        <v>192</v>
      </c>
      <c r="D5" s="74"/>
      <c r="E5" s="74"/>
      <c r="F5" s="104">
        <f>-150000</f>
        <v>-150000</v>
      </c>
      <c r="G5" s="128"/>
      <c r="H5" s="105"/>
      <c r="I5" s="74"/>
      <c r="J5" s="74">
        <v>150000</v>
      </c>
      <c r="K5" s="128"/>
      <c r="L5" s="73">
        <f>D5+H5</f>
        <v>0</v>
      </c>
      <c r="M5" s="73">
        <f t="shared" ref="M5:N19" si="0">E5+I5</f>
        <v>0</v>
      </c>
      <c r="N5" s="73">
        <f t="shared" si="0"/>
        <v>0</v>
      </c>
      <c r="O5" s="69"/>
      <c r="P5" t="s">
        <v>66</v>
      </c>
      <c r="Q5" s="4">
        <v>47660</v>
      </c>
      <c r="R5">
        <v>24695</v>
      </c>
      <c r="S5" s="5"/>
      <c r="T5" s="103"/>
      <c r="U5" s="80"/>
      <c r="V5" s="80"/>
    </row>
    <row r="6" spans="1:22" x14ac:dyDescent="0.3">
      <c r="A6" s="79">
        <v>1</v>
      </c>
      <c r="B6" s="71">
        <v>95402</v>
      </c>
      <c r="C6" s="113" t="s">
        <v>183</v>
      </c>
      <c r="D6" s="74">
        <f>-47660+7579</f>
        <v>-40081</v>
      </c>
      <c r="E6" s="74">
        <v>-13000</v>
      </c>
      <c r="F6" s="104">
        <f>-40000</f>
        <v>-40000</v>
      </c>
      <c r="G6" s="128"/>
      <c r="H6" s="112">
        <v>50244</v>
      </c>
      <c r="I6" s="74"/>
      <c r="J6" s="74">
        <v>40000</v>
      </c>
      <c r="K6" s="128"/>
      <c r="L6" s="73">
        <f t="shared" ref="L6:N38" si="1">D6+H6</f>
        <v>10163</v>
      </c>
      <c r="M6" s="73">
        <f t="shared" si="0"/>
        <v>-13000</v>
      </c>
      <c r="N6" s="73">
        <f t="shared" si="0"/>
        <v>0</v>
      </c>
      <c r="O6" s="69"/>
      <c r="P6" t="s">
        <v>67</v>
      </c>
      <c r="Q6" s="77">
        <v>7579</v>
      </c>
      <c r="R6" s="77">
        <v>5129</v>
      </c>
      <c r="S6" s="110"/>
    </row>
    <row r="7" spans="1:22" x14ac:dyDescent="0.3">
      <c r="A7" s="79">
        <v>1</v>
      </c>
      <c r="B7" s="71">
        <v>95401</v>
      </c>
      <c r="C7" s="113" t="s">
        <v>182</v>
      </c>
      <c r="D7" s="74">
        <f>-24695+5129</f>
        <v>-19566</v>
      </c>
      <c r="E7" s="74">
        <v>-27000</v>
      </c>
      <c r="F7" s="104">
        <f>-20000</f>
        <v>-20000</v>
      </c>
      <c r="G7" s="128"/>
      <c r="H7" s="112">
        <v>28888</v>
      </c>
      <c r="I7" s="74"/>
      <c r="J7" s="74">
        <v>20000</v>
      </c>
      <c r="K7" s="128"/>
      <c r="L7" s="73">
        <f t="shared" si="1"/>
        <v>9322</v>
      </c>
      <c r="M7" s="73">
        <f t="shared" si="0"/>
        <v>-27000</v>
      </c>
      <c r="N7" s="73">
        <f t="shared" si="0"/>
        <v>0</v>
      </c>
      <c r="O7" s="69"/>
      <c r="S7" s="110"/>
    </row>
    <row r="8" spans="1:22" ht="15.6" customHeight="1" x14ac:dyDescent="0.3">
      <c r="A8" s="79"/>
      <c r="B8" s="75">
        <v>95300</v>
      </c>
      <c r="C8" s="76" t="s">
        <v>186</v>
      </c>
      <c r="D8" s="74"/>
      <c r="E8" s="71"/>
      <c r="F8" s="104"/>
      <c r="G8" s="128"/>
      <c r="H8" s="95">
        <f>112172+17776+25740</f>
        <v>155688</v>
      </c>
      <c r="I8" s="74">
        <v>254000</v>
      </c>
      <c r="J8" s="74">
        <f>120000+60000+30000</f>
        <v>210000</v>
      </c>
      <c r="K8" s="128"/>
      <c r="L8" s="73">
        <f t="shared" si="1"/>
        <v>155688</v>
      </c>
      <c r="M8" s="73">
        <f t="shared" si="0"/>
        <v>254000</v>
      </c>
      <c r="N8" s="73">
        <f t="shared" si="0"/>
        <v>210000</v>
      </c>
      <c r="O8" s="69"/>
    </row>
    <row r="9" spans="1:22" x14ac:dyDescent="0.3">
      <c r="A9" s="79"/>
      <c r="B9" s="71">
        <v>95200</v>
      </c>
      <c r="C9" s="72" t="s">
        <v>181</v>
      </c>
      <c r="D9" s="74">
        <v>-19085</v>
      </c>
      <c r="E9" s="74"/>
      <c r="F9" s="104"/>
      <c r="G9" s="128"/>
      <c r="H9" s="95">
        <f>15010.06+3320</f>
        <v>18330.059999999998</v>
      </c>
      <c r="I9" s="74">
        <v>53000</v>
      </c>
      <c r="J9" s="74">
        <f>15000+4500</f>
        <v>19500</v>
      </c>
      <c r="K9" s="128"/>
      <c r="L9" s="73">
        <f t="shared" si="1"/>
        <v>-754.94000000000233</v>
      </c>
      <c r="M9" s="73">
        <f t="shared" si="0"/>
        <v>53000</v>
      </c>
      <c r="N9" s="73">
        <f t="shared" si="0"/>
        <v>19500</v>
      </c>
      <c r="O9" s="69"/>
      <c r="P9" s="5" t="s">
        <v>231</v>
      </c>
      <c r="Q9" s="17"/>
      <c r="R9" s="119"/>
      <c r="T9" s="5" t="s">
        <v>219</v>
      </c>
    </row>
    <row r="10" spans="1:22" x14ac:dyDescent="0.3">
      <c r="A10" s="79"/>
      <c r="B10" s="71">
        <v>95100</v>
      </c>
      <c r="C10" s="72" t="s">
        <v>180</v>
      </c>
      <c r="D10" s="74"/>
      <c r="E10" s="74"/>
      <c r="F10" s="104"/>
      <c r="G10" s="128"/>
      <c r="H10" s="95">
        <f>21040.23+5282</f>
        <v>26322.23</v>
      </c>
      <c r="I10" s="74">
        <v>40000</v>
      </c>
      <c r="J10" s="74">
        <f>50000+40000</f>
        <v>90000</v>
      </c>
      <c r="K10" s="128"/>
      <c r="L10" s="73">
        <f t="shared" si="1"/>
        <v>26322.23</v>
      </c>
      <c r="M10" s="73">
        <f t="shared" si="0"/>
        <v>40000</v>
      </c>
      <c r="N10" s="73">
        <f t="shared" si="0"/>
        <v>90000</v>
      </c>
      <c r="O10" s="69"/>
      <c r="P10" t="s">
        <v>246</v>
      </c>
      <c r="Q10" s="83">
        <f>10500+20500</f>
        <v>31000</v>
      </c>
      <c r="T10" s="4" t="s">
        <v>268</v>
      </c>
    </row>
    <row r="11" spans="1:22" x14ac:dyDescent="0.3">
      <c r="A11" s="79">
        <v>2</v>
      </c>
      <c r="B11" s="71">
        <v>95098</v>
      </c>
      <c r="C11" s="72" t="s">
        <v>112</v>
      </c>
      <c r="D11" s="74">
        <v>-45292</v>
      </c>
      <c r="E11" s="74"/>
      <c r="F11" s="104">
        <f>-20000</f>
        <v>-20000</v>
      </c>
      <c r="G11" s="128"/>
      <c r="H11" s="95">
        <f>35242+10500</f>
        <v>45742</v>
      </c>
      <c r="I11" s="74"/>
      <c r="J11" s="74"/>
      <c r="K11" s="128"/>
      <c r="L11" s="73">
        <f t="shared" si="1"/>
        <v>450</v>
      </c>
      <c r="M11" s="73">
        <f t="shared" si="0"/>
        <v>0</v>
      </c>
      <c r="N11" s="73">
        <f t="shared" si="0"/>
        <v>-20000</v>
      </c>
      <c r="O11" s="69"/>
      <c r="P11" t="s">
        <v>247</v>
      </c>
      <c r="Q11" s="83">
        <v>3125</v>
      </c>
      <c r="T11" s="4" t="s">
        <v>269</v>
      </c>
    </row>
    <row r="12" spans="1:22" x14ac:dyDescent="0.3">
      <c r="A12" s="79">
        <v>3</v>
      </c>
      <c r="B12" s="71">
        <v>95097</v>
      </c>
      <c r="C12" s="72" t="s">
        <v>79</v>
      </c>
      <c r="D12" s="74">
        <v>-145959</v>
      </c>
      <c r="E12" s="74">
        <v>-20000</v>
      </c>
      <c r="F12" s="104">
        <f>-10000</f>
        <v>-10000</v>
      </c>
      <c r="G12" s="128"/>
      <c r="H12" s="95">
        <f>55629.35+47212+14705</f>
        <v>117546.35</v>
      </c>
      <c r="I12" s="74"/>
      <c r="J12" s="74"/>
      <c r="K12" s="128"/>
      <c r="L12" s="73">
        <f t="shared" si="1"/>
        <v>-28412.649999999994</v>
      </c>
      <c r="M12" s="73">
        <f t="shared" si="0"/>
        <v>-20000</v>
      </c>
      <c r="N12" s="73">
        <f t="shared" si="0"/>
        <v>-10000</v>
      </c>
      <c r="O12" s="69"/>
      <c r="P12" t="s">
        <v>248</v>
      </c>
      <c r="Q12" s="109">
        <v>11617</v>
      </c>
      <c r="T12" s="9" t="s">
        <v>264</v>
      </c>
    </row>
    <row r="13" spans="1:22" x14ac:dyDescent="0.3">
      <c r="A13" s="79">
        <v>4</v>
      </c>
      <c r="B13" s="71">
        <v>95096</v>
      </c>
      <c r="C13" s="72" t="s">
        <v>179</v>
      </c>
      <c r="D13" s="74">
        <v>-94085</v>
      </c>
      <c r="E13" s="74"/>
      <c r="F13" s="104">
        <v>-162000</v>
      </c>
      <c r="G13" s="128"/>
      <c r="H13" s="95">
        <f>51+9798</f>
        <v>9849</v>
      </c>
      <c r="I13" s="74"/>
      <c r="J13" s="74">
        <f>80000</f>
        <v>80000</v>
      </c>
      <c r="K13" s="128"/>
      <c r="L13" s="73">
        <f t="shared" si="1"/>
        <v>-84236</v>
      </c>
      <c r="M13" s="73">
        <f t="shared" si="0"/>
        <v>0</v>
      </c>
      <c r="N13" s="73">
        <f t="shared" si="0"/>
        <v>-82000</v>
      </c>
      <c r="O13" s="69"/>
      <c r="Q13" s="21">
        <f>SUM(Q10:Q12)</f>
        <v>45742</v>
      </c>
      <c r="T13" s="81" t="s">
        <v>243</v>
      </c>
      <c r="U13" s="81"/>
      <c r="V13" s="82">
        <v>150000</v>
      </c>
    </row>
    <row r="14" spans="1:22" x14ac:dyDescent="0.3">
      <c r="A14" s="79">
        <v>5</v>
      </c>
      <c r="B14" s="71">
        <v>95095</v>
      </c>
      <c r="C14" s="72" t="s">
        <v>111</v>
      </c>
      <c r="D14" s="74">
        <v>-119825</v>
      </c>
      <c r="E14" s="74">
        <v>-40000</v>
      </c>
      <c r="F14" s="104">
        <f>-75000</f>
        <v>-75000</v>
      </c>
      <c r="G14" s="128"/>
      <c r="H14" s="95">
        <f>16996+7825+63250</f>
        <v>88071</v>
      </c>
      <c r="I14" s="74"/>
      <c r="J14" s="74">
        <v>75000</v>
      </c>
      <c r="K14" s="128"/>
      <c r="L14" s="73">
        <f t="shared" si="1"/>
        <v>-31754</v>
      </c>
      <c r="M14" s="73">
        <f t="shared" si="0"/>
        <v>-40000</v>
      </c>
      <c r="N14" s="73">
        <f t="shared" si="0"/>
        <v>0</v>
      </c>
      <c r="O14" s="69"/>
      <c r="R14" s="108"/>
      <c r="T14" s="81" t="s">
        <v>242</v>
      </c>
      <c r="U14" s="81"/>
      <c r="V14" s="82">
        <v>35000</v>
      </c>
    </row>
    <row r="15" spans="1:22" x14ac:dyDescent="0.3">
      <c r="A15" s="79"/>
      <c r="B15" s="71">
        <v>95094</v>
      </c>
      <c r="C15" s="72" t="s">
        <v>178</v>
      </c>
      <c r="D15" s="74">
        <v>-104500</v>
      </c>
      <c r="E15" s="74">
        <v>-33500</v>
      </c>
      <c r="F15" s="104">
        <f>-50000-3000-24000-30000-1500-15000</f>
        <v>-123500</v>
      </c>
      <c r="G15" s="128"/>
      <c r="H15" s="95"/>
      <c r="I15" s="74"/>
      <c r="J15" s="74"/>
      <c r="K15" s="128"/>
      <c r="L15" s="73">
        <f t="shared" si="1"/>
        <v>-104500</v>
      </c>
      <c r="M15" s="73">
        <f t="shared" si="0"/>
        <v>-33500</v>
      </c>
      <c r="N15" s="73">
        <f t="shared" si="0"/>
        <v>-123500</v>
      </c>
      <c r="O15" s="69"/>
      <c r="P15" s="5" t="s">
        <v>232</v>
      </c>
      <c r="R15" s="41"/>
      <c r="T15" s="81" t="s">
        <v>244</v>
      </c>
      <c r="U15" s="81"/>
      <c r="V15" s="109">
        <v>75000</v>
      </c>
    </row>
    <row r="16" spans="1:22" x14ac:dyDescent="0.3">
      <c r="A16" s="79">
        <v>6</v>
      </c>
      <c r="B16" s="71">
        <v>95093</v>
      </c>
      <c r="C16" s="72" t="s">
        <v>177</v>
      </c>
      <c r="D16" s="74">
        <v>-75000</v>
      </c>
      <c r="E16" s="74">
        <v>-77500</v>
      </c>
      <c r="F16" s="104">
        <f>-150000-35000-75000</f>
        <v>-260000</v>
      </c>
      <c r="G16" s="128"/>
      <c r="H16" s="95"/>
      <c r="I16" s="74"/>
      <c r="J16" s="74">
        <f>150000+35000+75000</f>
        <v>260000</v>
      </c>
      <c r="K16" s="128"/>
      <c r="L16" s="73">
        <f t="shared" si="1"/>
        <v>-75000</v>
      </c>
      <c r="M16" s="73">
        <f t="shared" si="0"/>
        <v>-77500</v>
      </c>
      <c r="N16" s="73">
        <f t="shared" si="0"/>
        <v>0</v>
      </c>
      <c r="O16" s="69"/>
      <c r="P16" t="s">
        <v>241</v>
      </c>
      <c r="Q16" s="11">
        <v>40000</v>
      </c>
      <c r="T16" s="81"/>
      <c r="U16" s="81"/>
      <c r="V16" s="110">
        <f>SUM(V13:V15)</f>
        <v>260000</v>
      </c>
    </row>
    <row r="17" spans="1:22" x14ac:dyDescent="0.3">
      <c r="A17" s="79"/>
      <c r="B17" s="71">
        <v>95092</v>
      </c>
      <c r="C17" s="72" t="s">
        <v>176</v>
      </c>
      <c r="D17" s="74">
        <v>-142947</v>
      </c>
      <c r="E17" s="74">
        <v>-75500</v>
      </c>
      <c r="F17" s="104">
        <f>-20000-1000-60000-22000-4000-35000</f>
        <v>-142000</v>
      </c>
      <c r="G17" s="128"/>
      <c r="H17" s="105"/>
      <c r="I17" s="74"/>
      <c r="J17" s="74"/>
      <c r="K17" s="128"/>
      <c r="L17" s="73">
        <f t="shared" si="1"/>
        <v>-142947</v>
      </c>
      <c r="M17" s="73">
        <f t="shared" si="0"/>
        <v>-75500</v>
      </c>
      <c r="N17" s="73">
        <f t="shared" si="0"/>
        <v>-142000</v>
      </c>
      <c r="O17" s="69"/>
      <c r="P17" t="s">
        <v>249</v>
      </c>
      <c r="Q17" s="11">
        <v>26345</v>
      </c>
    </row>
    <row r="18" spans="1:22" x14ac:dyDescent="0.3">
      <c r="A18" s="79"/>
      <c r="B18" s="71">
        <v>95091</v>
      </c>
      <c r="C18" s="72" t="s">
        <v>175</v>
      </c>
      <c r="D18" s="74">
        <v>-169237</v>
      </c>
      <c r="E18" s="74">
        <v>-119500</v>
      </c>
      <c r="F18" s="104">
        <f>-40000-3000-45000-22000-15000-3000</f>
        <v>-128000</v>
      </c>
      <c r="G18" s="128"/>
      <c r="H18" s="105"/>
      <c r="I18" s="74"/>
      <c r="J18" s="74"/>
      <c r="K18" s="128"/>
      <c r="L18" s="73">
        <f t="shared" si="1"/>
        <v>-169237</v>
      </c>
      <c r="M18" s="73">
        <f t="shared" si="0"/>
        <v>-119500</v>
      </c>
      <c r="N18" s="73">
        <f t="shared" si="0"/>
        <v>-128000</v>
      </c>
      <c r="O18" s="69"/>
      <c r="P18" t="s">
        <v>250</v>
      </c>
      <c r="Q18" s="11">
        <v>30996</v>
      </c>
      <c r="T18" s="5" t="s">
        <v>235</v>
      </c>
      <c r="V18" s="4"/>
    </row>
    <row r="19" spans="1:22" x14ac:dyDescent="0.3">
      <c r="A19" s="79"/>
      <c r="B19" s="71">
        <v>95090</v>
      </c>
      <c r="C19" s="72" t="s">
        <v>174</v>
      </c>
      <c r="D19" s="74">
        <v>-50000</v>
      </c>
      <c r="E19" s="74">
        <v>-51000</v>
      </c>
      <c r="F19" s="104">
        <f>-50000</f>
        <v>-50000</v>
      </c>
      <c r="G19" s="128"/>
      <c r="H19" s="95">
        <v>11450</v>
      </c>
      <c r="I19" s="74"/>
      <c r="J19" s="74"/>
      <c r="K19" s="128"/>
      <c r="L19" s="73">
        <f t="shared" si="1"/>
        <v>-38550</v>
      </c>
      <c r="M19" s="73">
        <f t="shared" si="0"/>
        <v>-51000</v>
      </c>
      <c r="N19" s="73">
        <f t="shared" si="0"/>
        <v>-50000</v>
      </c>
      <c r="O19" s="69"/>
      <c r="P19" t="s">
        <v>251</v>
      </c>
      <c r="Q19" s="11">
        <v>14705</v>
      </c>
      <c r="T19" t="s">
        <v>245</v>
      </c>
    </row>
    <row r="20" spans="1:22" x14ac:dyDescent="0.3">
      <c r="A20" s="79"/>
      <c r="B20" s="71">
        <v>95011</v>
      </c>
      <c r="C20" s="72" t="s">
        <v>17</v>
      </c>
      <c r="D20" s="74"/>
      <c r="E20" s="74"/>
      <c r="F20" s="104"/>
      <c r="G20" s="128"/>
      <c r="H20" s="95">
        <f>8378.75+435+9137+8888</f>
        <v>26838.75</v>
      </c>
      <c r="I20" s="74">
        <v>6000</v>
      </c>
      <c r="J20" s="74">
        <f>25000+20000+10000+15000+3000</f>
        <v>73000</v>
      </c>
      <c r="K20" s="128"/>
      <c r="L20" s="73">
        <f t="shared" si="1"/>
        <v>26838.75</v>
      </c>
      <c r="M20" s="73">
        <f t="shared" si="1"/>
        <v>6000</v>
      </c>
      <c r="N20" s="73">
        <f t="shared" si="1"/>
        <v>73000</v>
      </c>
      <c r="O20" s="69"/>
      <c r="P20" t="s">
        <v>252</v>
      </c>
      <c r="Q20" s="42">
        <v>5500</v>
      </c>
      <c r="T20" t="s">
        <v>261</v>
      </c>
    </row>
    <row r="21" spans="1:22" x14ac:dyDescent="0.3">
      <c r="A21" s="79"/>
      <c r="B21" s="71">
        <v>95010</v>
      </c>
      <c r="C21" s="72" t="s">
        <v>184</v>
      </c>
      <c r="D21" s="74"/>
      <c r="E21" s="74">
        <v>-10000</v>
      </c>
      <c r="F21" s="141"/>
      <c r="G21" s="128"/>
      <c r="H21" s="106">
        <f>3607+519</f>
        <v>4126</v>
      </c>
      <c r="I21" s="74">
        <v>44000</v>
      </c>
      <c r="J21" s="74">
        <v>65000</v>
      </c>
      <c r="K21" s="128"/>
      <c r="L21" s="73">
        <f t="shared" si="1"/>
        <v>4126</v>
      </c>
      <c r="M21" s="73">
        <f t="shared" si="1"/>
        <v>34000</v>
      </c>
      <c r="N21" s="73">
        <f t="shared" si="1"/>
        <v>65000</v>
      </c>
      <c r="O21" s="69"/>
      <c r="Q21" s="61">
        <f>SUM(Q16:Q20)</f>
        <v>117546</v>
      </c>
    </row>
    <row r="22" spans="1:22" x14ac:dyDescent="0.3">
      <c r="A22" s="79"/>
      <c r="B22" s="71">
        <v>95009</v>
      </c>
      <c r="C22" s="72" t="s">
        <v>173</v>
      </c>
      <c r="D22" s="74">
        <v>-69403</v>
      </c>
      <c r="E22" s="74">
        <v>-300000</v>
      </c>
      <c r="F22" s="104">
        <f>-50000-80000-10000-10000</f>
        <v>-150000</v>
      </c>
      <c r="G22" s="128"/>
      <c r="H22" s="96">
        <f>33659+5671+1882</f>
        <v>41212</v>
      </c>
      <c r="I22" s="74">
        <v>64000</v>
      </c>
      <c r="J22" s="74">
        <v>84500</v>
      </c>
      <c r="K22" s="128"/>
      <c r="L22" s="73">
        <f t="shared" si="1"/>
        <v>-28191</v>
      </c>
      <c r="M22" s="73">
        <f t="shared" si="1"/>
        <v>-236000</v>
      </c>
      <c r="N22" s="73">
        <f t="shared" si="1"/>
        <v>-65500</v>
      </c>
      <c r="O22" s="69"/>
      <c r="P22" t="s">
        <v>257</v>
      </c>
      <c r="Q22" s="109">
        <v>30000</v>
      </c>
    </row>
    <row r="23" spans="1:22" s="4" customFormat="1" x14ac:dyDescent="0.3">
      <c r="A23" s="114"/>
      <c r="B23" s="115">
        <v>95008</v>
      </c>
      <c r="C23" s="116" t="s">
        <v>172</v>
      </c>
      <c r="D23" s="104">
        <v>-386180</v>
      </c>
      <c r="E23" s="104">
        <f>-85000-256000</f>
        <v>-341000</v>
      </c>
      <c r="F23" s="104">
        <f>-25000-250000-70000-70000</f>
        <v>-415000</v>
      </c>
      <c r="G23" s="129"/>
      <c r="H23" s="95">
        <f>182.61+155+293+28+350</f>
        <v>1008.61</v>
      </c>
      <c r="I23" s="104">
        <v>10000</v>
      </c>
      <c r="J23" s="104">
        <v>15000</v>
      </c>
      <c r="K23" s="129"/>
      <c r="L23" s="73">
        <f t="shared" si="1"/>
        <v>-385171.39</v>
      </c>
      <c r="M23" s="73">
        <f t="shared" si="1"/>
        <v>-331000</v>
      </c>
      <c r="N23" s="73">
        <f t="shared" si="1"/>
        <v>-400000</v>
      </c>
      <c r="O23" s="69"/>
      <c r="P23" t="s">
        <v>253</v>
      </c>
      <c r="Q23" s="123">
        <f>Q21+Q22</f>
        <v>147546</v>
      </c>
      <c r="R23"/>
      <c r="S23"/>
      <c r="T23" s="5" t="s">
        <v>229</v>
      </c>
      <c r="V23"/>
    </row>
    <row r="24" spans="1:22" x14ac:dyDescent="0.3">
      <c r="A24" s="79"/>
      <c r="B24" s="71">
        <v>95007</v>
      </c>
      <c r="C24" s="72" t="s">
        <v>171</v>
      </c>
      <c r="D24" s="74"/>
      <c r="E24" s="74"/>
      <c r="F24" s="104"/>
      <c r="G24" s="128"/>
      <c r="H24" s="95">
        <v>-500</v>
      </c>
      <c r="I24" s="74">
        <v>150000</v>
      </c>
      <c r="J24" s="74">
        <f>5000</f>
        <v>5000</v>
      </c>
      <c r="K24" s="128"/>
      <c r="L24" s="73">
        <f t="shared" si="1"/>
        <v>-500</v>
      </c>
      <c r="M24" s="73">
        <f t="shared" si="1"/>
        <v>150000</v>
      </c>
      <c r="N24" s="73">
        <f t="shared" si="1"/>
        <v>5000</v>
      </c>
      <c r="O24" s="69"/>
      <c r="P24" t="s">
        <v>240</v>
      </c>
      <c r="Q24" s="125">
        <v>-145959</v>
      </c>
      <c r="T24" t="s">
        <v>220</v>
      </c>
      <c r="U24" s="4"/>
    </row>
    <row r="25" spans="1:22" x14ac:dyDescent="0.3">
      <c r="A25" s="79"/>
      <c r="B25" s="71">
        <v>95006</v>
      </c>
      <c r="C25" s="72" t="s">
        <v>169</v>
      </c>
      <c r="D25" s="74">
        <v>-6555</v>
      </c>
      <c r="E25" s="74">
        <v>-18000</v>
      </c>
      <c r="F25" s="104">
        <f>-5000-27000</f>
        <v>-32000</v>
      </c>
      <c r="G25" s="128"/>
      <c r="H25" s="95">
        <f>179243.66+7169+150410+11230+370</f>
        <v>348422.66000000003</v>
      </c>
      <c r="I25" s="74">
        <v>273500</v>
      </c>
      <c r="J25" s="74">
        <v>273000</v>
      </c>
      <c r="K25" s="128"/>
      <c r="L25" s="73">
        <f t="shared" si="1"/>
        <v>341867.66000000003</v>
      </c>
      <c r="M25" s="73">
        <f t="shared" si="1"/>
        <v>255500</v>
      </c>
      <c r="N25" s="73">
        <f t="shared" si="1"/>
        <v>241000</v>
      </c>
      <c r="O25" s="69"/>
      <c r="Q25" s="41"/>
      <c r="T25" s="4" t="s">
        <v>265</v>
      </c>
      <c r="U25" s="3">
        <v>164000</v>
      </c>
    </row>
    <row r="26" spans="1:22" x14ac:dyDescent="0.3">
      <c r="A26" s="79"/>
      <c r="B26" s="71">
        <v>95005</v>
      </c>
      <c r="C26" s="72" t="s">
        <v>168</v>
      </c>
      <c r="D26" s="74">
        <v>-90731</v>
      </c>
      <c r="E26" s="74">
        <v>-150000</v>
      </c>
      <c r="F26" s="104">
        <v>-95000</v>
      </c>
      <c r="G26" s="128"/>
      <c r="H26" s="105"/>
      <c r="I26" s="74">
        <v>97500</v>
      </c>
      <c r="J26" s="74">
        <v>70000</v>
      </c>
      <c r="K26" s="128"/>
      <c r="L26" s="73">
        <f t="shared" si="1"/>
        <v>-90731</v>
      </c>
      <c r="M26" s="73">
        <f t="shared" si="1"/>
        <v>-52500</v>
      </c>
      <c r="N26" s="73">
        <f t="shared" si="1"/>
        <v>-25000</v>
      </c>
      <c r="O26" s="69"/>
      <c r="P26" s="5" t="s">
        <v>233</v>
      </c>
      <c r="T26" t="s">
        <v>221</v>
      </c>
      <c r="U26" s="3">
        <v>102500</v>
      </c>
    </row>
    <row r="27" spans="1:22" x14ac:dyDescent="0.3">
      <c r="A27" s="79"/>
      <c r="B27" s="71">
        <v>95002</v>
      </c>
      <c r="C27" s="72" t="s">
        <v>167</v>
      </c>
      <c r="D27" s="74">
        <v>-308274</v>
      </c>
      <c r="E27" s="74">
        <v>-239500</v>
      </c>
      <c r="F27" s="104">
        <f>-15000-18000-180000-60000-5000-85000</f>
        <v>-363000</v>
      </c>
      <c r="G27" s="128"/>
      <c r="H27" s="95"/>
      <c r="I27" s="74">
        <v>362300</v>
      </c>
      <c r="J27" s="74"/>
      <c r="K27" s="128"/>
      <c r="L27" s="73">
        <f t="shared" si="1"/>
        <v>-308274</v>
      </c>
      <c r="M27" s="73">
        <f t="shared" si="1"/>
        <v>122800</v>
      </c>
      <c r="N27" s="73">
        <f t="shared" si="1"/>
        <v>-363000</v>
      </c>
      <c r="O27" s="69"/>
      <c r="P27" t="s">
        <v>254</v>
      </c>
      <c r="Q27">
        <v>14400</v>
      </c>
      <c r="T27" t="s">
        <v>222</v>
      </c>
      <c r="U27" s="3">
        <v>18500</v>
      </c>
    </row>
    <row r="28" spans="1:22" x14ac:dyDescent="0.3">
      <c r="A28" s="79"/>
      <c r="B28" s="71">
        <v>95001</v>
      </c>
      <c r="C28" s="72" t="s">
        <v>166</v>
      </c>
      <c r="D28" s="74">
        <v>-33592</v>
      </c>
      <c r="E28" s="74">
        <v>-18000</v>
      </c>
      <c r="F28" s="104"/>
      <c r="G28" s="128"/>
      <c r="H28" s="95">
        <f>19074.94+345+107270+65500+9644+2844-4</f>
        <v>204673.94</v>
      </c>
      <c r="I28" s="74">
        <v>365250</v>
      </c>
      <c r="J28" s="74">
        <f>100000+5000+100000+45000+45000+5000</f>
        <v>300000</v>
      </c>
      <c r="K28" s="128"/>
      <c r="L28" s="73">
        <f>D28+H28-2</f>
        <v>171079.94</v>
      </c>
      <c r="M28" s="73">
        <f t="shared" si="1"/>
        <v>347250</v>
      </c>
      <c r="N28" s="73">
        <f t="shared" si="1"/>
        <v>300000</v>
      </c>
      <c r="O28" s="69"/>
      <c r="P28" t="s">
        <v>255</v>
      </c>
      <c r="Q28">
        <f>42709+27178</f>
        <v>69887</v>
      </c>
      <c r="T28" t="s">
        <v>223</v>
      </c>
      <c r="U28" s="3">
        <v>25000</v>
      </c>
    </row>
    <row r="29" spans="1:22" x14ac:dyDescent="0.3">
      <c r="A29" s="79"/>
      <c r="B29" s="71">
        <v>95000</v>
      </c>
      <c r="C29" s="72" t="s">
        <v>227</v>
      </c>
      <c r="D29" s="74"/>
      <c r="E29" s="74"/>
      <c r="F29" s="104"/>
      <c r="G29" s="128"/>
      <c r="H29" s="95">
        <f>164071.54+16008+36950+126470+167285+3500</f>
        <v>514284.54000000004</v>
      </c>
      <c r="I29" s="74"/>
      <c r="J29" s="74">
        <f>50000+32000+190000+185000+210000+3000</f>
        <v>670000</v>
      </c>
      <c r="K29" s="128"/>
      <c r="L29" s="73">
        <f t="shared" si="1"/>
        <v>514284.54000000004</v>
      </c>
      <c r="M29" s="73">
        <f t="shared" si="1"/>
        <v>0</v>
      </c>
      <c r="N29" s="73">
        <f t="shared" si="1"/>
        <v>670000</v>
      </c>
      <c r="O29" s="69"/>
      <c r="P29" t="s">
        <v>256</v>
      </c>
      <c r="Q29" s="124">
        <v>9798</v>
      </c>
      <c r="T29" t="s">
        <v>224</v>
      </c>
      <c r="U29" s="3">
        <v>0</v>
      </c>
    </row>
    <row r="30" spans="1:22" x14ac:dyDescent="0.3">
      <c r="A30" s="79"/>
      <c r="B30" s="71">
        <v>70400</v>
      </c>
      <c r="C30" s="72" t="s">
        <v>187</v>
      </c>
      <c r="D30" s="74"/>
      <c r="E30" s="74"/>
      <c r="F30" s="104"/>
      <c r="G30" s="128"/>
      <c r="H30" s="96">
        <v>500</v>
      </c>
      <c r="I30" s="74"/>
      <c r="J30" s="74"/>
      <c r="K30" s="128"/>
      <c r="L30" s="73">
        <f t="shared" si="1"/>
        <v>500</v>
      </c>
      <c r="M30" s="73">
        <f t="shared" si="1"/>
        <v>0</v>
      </c>
      <c r="N30" s="73">
        <f t="shared" si="1"/>
        <v>0</v>
      </c>
      <c r="O30" s="69"/>
      <c r="Q30" s="5">
        <f>SUM(Q27:Q29)</f>
        <v>94085</v>
      </c>
      <c r="T30" t="s">
        <v>225</v>
      </c>
      <c r="U30" s="3">
        <v>55000</v>
      </c>
    </row>
    <row r="31" spans="1:22" x14ac:dyDescent="0.3">
      <c r="A31" s="79"/>
      <c r="B31" s="71">
        <v>60100</v>
      </c>
      <c r="C31" s="72" t="s">
        <v>188</v>
      </c>
      <c r="D31" s="74"/>
      <c r="E31" s="74"/>
      <c r="F31" s="104"/>
      <c r="G31" s="128"/>
      <c r="H31" s="95"/>
      <c r="I31" s="74">
        <v>60000</v>
      </c>
      <c r="J31" s="74"/>
      <c r="K31" s="128"/>
      <c r="L31" s="73">
        <f t="shared" si="1"/>
        <v>0</v>
      </c>
      <c r="M31" s="73">
        <f t="shared" si="1"/>
        <v>60000</v>
      </c>
      <c r="N31" s="73">
        <f t="shared" si="1"/>
        <v>0</v>
      </c>
      <c r="O31" s="69"/>
      <c r="T31" t="s">
        <v>226</v>
      </c>
      <c r="U31" s="12">
        <v>7500</v>
      </c>
    </row>
    <row r="32" spans="1:22" x14ac:dyDescent="0.3">
      <c r="A32" s="79"/>
      <c r="B32" s="71">
        <v>40500</v>
      </c>
      <c r="C32" s="72" t="s">
        <v>165</v>
      </c>
      <c r="D32" s="74"/>
      <c r="E32" s="74"/>
      <c r="F32" s="104"/>
      <c r="G32" s="128"/>
      <c r="H32" s="95">
        <v>22000</v>
      </c>
      <c r="I32" s="74"/>
      <c r="J32" s="74">
        <v>60000</v>
      </c>
      <c r="K32" s="128"/>
      <c r="L32" s="73">
        <f t="shared" si="1"/>
        <v>22000</v>
      </c>
      <c r="M32" s="73">
        <f t="shared" si="1"/>
        <v>0</v>
      </c>
      <c r="N32" s="73">
        <f t="shared" si="1"/>
        <v>60000</v>
      </c>
      <c r="O32" s="69"/>
      <c r="P32" s="5" t="s">
        <v>234</v>
      </c>
      <c r="T32"/>
      <c r="U32" s="13">
        <f>SUM(U25:U31)</f>
        <v>372500</v>
      </c>
      <c r="V32" s="5"/>
    </row>
    <row r="33" spans="1:22" x14ac:dyDescent="0.3">
      <c r="A33" s="79"/>
      <c r="B33" s="71">
        <v>40300</v>
      </c>
      <c r="C33" s="72" t="s">
        <v>164</v>
      </c>
      <c r="D33" s="74"/>
      <c r="E33" s="74"/>
      <c r="F33" s="104"/>
      <c r="G33" s="128"/>
      <c r="H33" s="95">
        <v>9041</v>
      </c>
      <c r="I33" s="74"/>
      <c r="J33" s="74">
        <v>15000</v>
      </c>
      <c r="K33" s="128"/>
      <c r="L33" s="73">
        <f t="shared" si="1"/>
        <v>9041</v>
      </c>
      <c r="M33" s="73">
        <f t="shared" si="1"/>
        <v>0</v>
      </c>
      <c r="N33" s="73">
        <f t="shared" si="1"/>
        <v>15000</v>
      </c>
      <c r="O33" s="69"/>
      <c r="P33" s="4" t="s">
        <v>170</v>
      </c>
      <c r="Q33" s="11">
        <v>50000</v>
      </c>
    </row>
    <row r="34" spans="1:22" x14ac:dyDescent="0.3">
      <c r="A34" s="79"/>
      <c r="B34" s="71">
        <v>40102</v>
      </c>
      <c r="C34" s="72" t="s">
        <v>114</v>
      </c>
      <c r="D34" s="74">
        <v>-11600</v>
      </c>
      <c r="E34" s="74"/>
      <c r="F34" s="104">
        <v>-26000</v>
      </c>
      <c r="G34" s="128"/>
      <c r="H34" s="95"/>
      <c r="I34" s="74"/>
      <c r="J34" s="74"/>
      <c r="K34" s="128"/>
      <c r="L34" s="73">
        <f t="shared" si="1"/>
        <v>-11600</v>
      </c>
      <c r="M34" s="73">
        <f t="shared" si="1"/>
        <v>0</v>
      </c>
      <c r="N34" s="73">
        <f t="shared" si="1"/>
        <v>-26000</v>
      </c>
      <c r="O34" s="69"/>
      <c r="P34" s="4" t="s">
        <v>262</v>
      </c>
      <c r="Q34" s="11">
        <v>62000</v>
      </c>
    </row>
    <row r="35" spans="1:22" x14ac:dyDescent="0.3">
      <c r="A35" s="79">
        <v>7</v>
      </c>
      <c r="B35" s="71">
        <v>30101</v>
      </c>
      <c r="C35" s="72" t="s">
        <v>189</v>
      </c>
      <c r="D35" s="74"/>
      <c r="E35" s="74"/>
      <c r="F35" s="104"/>
      <c r="G35" s="128"/>
      <c r="H35" s="95">
        <v>20441</v>
      </c>
      <c r="I35" s="74"/>
      <c r="J35" s="74"/>
      <c r="K35" s="128"/>
      <c r="L35" s="73">
        <f t="shared" si="1"/>
        <v>20441</v>
      </c>
      <c r="M35" s="73">
        <f t="shared" si="1"/>
        <v>0</v>
      </c>
      <c r="N35" s="73">
        <f t="shared" si="1"/>
        <v>0</v>
      </c>
      <c r="O35" s="69"/>
      <c r="P35" s="4" t="s">
        <v>263</v>
      </c>
      <c r="Q35" s="42">
        <v>7825</v>
      </c>
    </row>
    <row r="36" spans="1:22" x14ac:dyDescent="0.3">
      <c r="A36" s="79"/>
      <c r="B36" s="71">
        <v>10400</v>
      </c>
      <c r="C36" s="72" t="s">
        <v>163</v>
      </c>
      <c r="D36" s="74">
        <v>-24500</v>
      </c>
      <c r="E36" s="74"/>
      <c r="F36" s="104">
        <f>-10000</f>
        <v>-10000</v>
      </c>
      <c r="G36" s="128"/>
      <c r="H36" s="95">
        <f>45188+56610</f>
        <v>101798</v>
      </c>
      <c r="I36" s="74">
        <v>34000</v>
      </c>
      <c r="J36" s="74">
        <v>50000</v>
      </c>
      <c r="K36" s="128"/>
      <c r="L36" s="73">
        <f t="shared" si="1"/>
        <v>77298</v>
      </c>
      <c r="M36" s="73">
        <f t="shared" si="1"/>
        <v>34000</v>
      </c>
      <c r="N36" s="73">
        <f t="shared" si="1"/>
        <v>40000</v>
      </c>
      <c r="O36" s="69"/>
      <c r="P36" s="4"/>
      <c r="Q36" s="41">
        <f>SUM(Q33:Q35)</f>
        <v>119825</v>
      </c>
    </row>
    <row r="37" spans="1:22" x14ac:dyDescent="0.3">
      <c r="A37" s="79"/>
      <c r="B37" s="71">
        <v>10300</v>
      </c>
      <c r="C37" s="72" t="s">
        <v>190</v>
      </c>
      <c r="D37" s="74">
        <v>-122450</v>
      </c>
      <c r="E37" s="74">
        <v>-90000</v>
      </c>
      <c r="F37" s="104">
        <f>-110000</f>
        <v>-110000</v>
      </c>
      <c r="G37" s="128"/>
      <c r="H37" s="96">
        <v>4115</v>
      </c>
      <c r="I37" s="74"/>
      <c r="J37" s="74">
        <v>4000</v>
      </c>
      <c r="K37" s="128"/>
      <c r="L37" s="73">
        <f t="shared" si="1"/>
        <v>-118335</v>
      </c>
      <c r="M37" s="73">
        <f t="shared" si="1"/>
        <v>-90000</v>
      </c>
      <c r="N37" s="73">
        <f t="shared" si="1"/>
        <v>-106000</v>
      </c>
      <c r="O37" s="69"/>
    </row>
    <row r="38" spans="1:22" ht="15" thickBot="1" x14ac:dyDescent="0.35">
      <c r="A38" s="79"/>
      <c r="B38" s="75">
        <v>10110</v>
      </c>
      <c r="C38" s="76" t="s">
        <v>191</v>
      </c>
      <c r="D38" s="74"/>
      <c r="E38" s="136"/>
      <c r="F38" s="135"/>
      <c r="G38" s="128"/>
      <c r="H38" s="111">
        <v>87346</v>
      </c>
      <c r="I38" s="74">
        <v>88000</v>
      </c>
      <c r="J38" s="74">
        <v>125000</v>
      </c>
      <c r="K38" s="128"/>
      <c r="L38" s="73">
        <f t="shared" si="1"/>
        <v>87346</v>
      </c>
      <c r="M38" s="73">
        <f t="shared" si="1"/>
        <v>88000</v>
      </c>
      <c r="N38" s="73">
        <f t="shared" si="1"/>
        <v>125000</v>
      </c>
      <c r="O38" s="69"/>
    </row>
    <row r="39" spans="1:22" s="5" customFormat="1" ht="15" thickBot="1" x14ac:dyDescent="0.35">
      <c r="A39" s="88">
        <v>8</v>
      </c>
      <c r="B39" s="89"/>
      <c r="C39" s="90" t="s">
        <v>25</v>
      </c>
      <c r="D39" s="91">
        <f>SUM(D5:D38)-1</f>
        <v>-2078863</v>
      </c>
      <c r="E39" s="91">
        <f>SUM(E5:E38)</f>
        <v>-1623500</v>
      </c>
      <c r="F39" s="120">
        <f>SUM(F5:F38)</f>
        <v>-2381500</v>
      </c>
      <c r="G39" s="130"/>
      <c r="H39" s="91">
        <f>SUM(H6:H38)</f>
        <v>1937438.1400000001</v>
      </c>
      <c r="I39" s="91">
        <f>SUM(I5:I38)</f>
        <v>1901550</v>
      </c>
      <c r="J39" s="91">
        <f>SUM(J5:J38)</f>
        <v>2754000</v>
      </c>
      <c r="K39" s="130"/>
      <c r="L39" s="92">
        <f>SUM(L5:L38)</f>
        <v>-141425.85999999987</v>
      </c>
      <c r="M39" s="92">
        <f>SUM(M5:M38)</f>
        <v>278050</v>
      </c>
      <c r="N39" s="92">
        <f>SUM(N5:N38)</f>
        <v>372500</v>
      </c>
      <c r="O39" s="139"/>
      <c r="P39"/>
      <c r="Q39"/>
      <c r="R39"/>
      <c r="S39"/>
      <c r="T39" s="4"/>
      <c r="V39"/>
    </row>
    <row r="40" spans="1:22" x14ac:dyDescent="0.3">
      <c r="P40" s="4"/>
      <c r="Q40" s="4"/>
      <c r="S40" s="77"/>
    </row>
    <row r="41" spans="1:22" x14ac:dyDescent="0.3">
      <c r="H41" s="82"/>
    </row>
    <row r="42" spans="1:22" x14ac:dyDescent="0.3">
      <c r="H42" s="82"/>
    </row>
    <row r="43" spans="1:22" x14ac:dyDescent="0.3">
      <c r="C43" s="5"/>
      <c r="H43" s="82"/>
      <c r="R43" s="4"/>
    </row>
    <row r="44" spans="1:22" x14ac:dyDescent="0.3">
      <c r="H44" s="82"/>
    </row>
    <row r="45" spans="1:22" x14ac:dyDescent="0.3">
      <c r="D45" s="27"/>
      <c r="H45" s="82"/>
    </row>
    <row r="46" spans="1:22" x14ac:dyDescent="0.3">
      <c r="H46" s="82"/>
    </row>
    <row r="47" spans="1:22" x14ac:dyDescent="0.3">
      <c r="H47" s="82"/>
    </row>
    <row r="48" spans="1:22" x14ac:dyDescent="0.3">
      <c r="H48" s="82"/>
    </row>
    <row r="49" spans="3:19" x14ac:dyDescent="0.3">
      <c r="H49" s="82"/>
    </row>
    <row r="50" spans="3:19" x14ac:dyDescent="0.3">
      <c r="H50" s="82"/>
    </row>
    <row r="51" spans="3:19" x14ac:dyDescent="0.3">
      <c r="H51" s="82"/>
    </row>
    <row r="52" spans="3:19" x14ac:dyDescent="0.3">
      <c r="H52" s="82"/>
      <c r="P52" s="5"/>
      <c r="Q52" s="5"/>
    </row>
    <row r="53" spans="3:19" x14ac:dyDescent="0.3">
      <c r="H53" s="82"/>
      <c r="S53" s="5"/>
    </row>
    <row r="54" spans="3:19" x14ac:dyDescent="0.3">
      <c r="H54" s="82"/>
    </row>
    <row r="55" spans="3:19" x14ac:dyDescent="0.3">
      <c r="R55" s="5"/>
      <c r="S55" s="27"/>
    </row>
    <row r="56" spans="3:19" x14ac:dyDescent="0.3">
      <c r="C56" s="27"/>
    </row>
  </sheetData>
  <mergeCells count="4">
    <mergeCell ref="C1:J1"/>
    <mergeCell ref="D3:F3"/>
    <mergeCell ref="H3:J3"/>
    <mergeCell ref="L3:N3"/>
  </mergeCells>
  <pageMargins left="0.31496062992125984" right="0.31496062992125984" top="0.74803149606299213" bottom="0.74803149606299213" header="0.31496062992125984" footer="0.31496062992125984"/>
  <pageSetup paperSize="9" scale="8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Totalregnskap</vt:lpstr>
      <vt:lpstr>Prosjektregnskap totalt</vt:lpstr>
      <vt:lpstr>Totalregnskap!iv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Sissel Smedby</dc:creator>
  <cp:lastModifiedBy>Sissel Smedby</cp:lastModifiedBy>
  <cp:lastPrinted>2022-03-21T20:26:44Z</cp:lastPrinted>
  <dcterms:created xsi:type="dcterms:W3CDTF">2020-04-13T12:15:44Z</dcterms:created>
  <dcterms:modified xsi:type="dcterms:W3CDTF">2022-03-21T20:31:54Z</dcterms:modified>
</cp:coreProperties>
</file>