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sel Smedby\Documents\RIL Hovedstyret\2021\Årsmøte\SENDES MORTEN 18.03.21\"/>
    </mc:Choice>
  </mc:AlternateContent>
  <xr:revisionPtr revIDLastSave="0" documentId="13_ncr:1_{F85D5F61-FACB-441F-A1A7-7C140C88F2F4}" xr6:coauthVersionLast="46" xr6:coauthVersionMax="46" xr10:uidLastSave="{00000000-0000-0000-0000-000000000000}"/>
  <workbookProtection workbookAlgorithmName="SHA-512" workbookHashValue="WfK2i8GsHCqHjkj8E3KPf2vfEUBg1J4VEuIOVboyFFBauqxut8Q3CATOGvfPXaumExlnxcXcVw3oXHtix0vePA==" workbookSaltValue="GfsxTgo4wZPC4s80UrcZdA==" workbookSpinCount="100000" lockStructure="1"/>
  <bookViews>
    <workbookView xWindow="-108" yWindow="-108" windowWidth="23256" windowHeight="12576" xr2:uid="{DA916388-812F-46DE-B53A-AB5A5B2999C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9" i="1" l="1"/>
  <c r="G47" i="1"/>
  <c r="I29" i="1"/>
  <c r="K30" i="1"/>
  <c r="K11" i="1"/>
  <c r="N78" i="1"/>
  <c r="N77" i="1"/>
  <c r="K76" i="1"/>
  <c r="K77" i="1" s="1"/>
  <c r="K69" i="1"/>
  <c r="K66" i="1"/>
  <c r="K68" i="1" s="1"/>
  <c r="K70" i="1" s="1"/>
  <c r="K64" i="1"/>
  <c r="K78" i="1" s="1"/>
  <c r="N57" i="1"/>
  <c r="K57" i="1"/>
  <c r="K48" i="1"/>
  <c r="K40" i="1"/>
  <c r="K39" i="1"/>
  <c r="K38" i="1"/>
  <c r="N37" i="1"/>
  <c r="K36" i="1"/>
  <c r="K41" i="1" s="1"/>
  <c r="N29" i="1"/>
  <c r="N30" i="1" s="1"/>
  <c r="K28" i="1"/>
  <c r="K27" i="1"/>
  <c r="K26" i="1"/>
  <c r="K25" i="1"/>
  <c r="N20" i="1"/>
  <c r="N14" i="1"/>
  <c r="I35" i="1"/>
  <c r="I30" i="1"/>
  <c r="I39" i="1"/>
  <c r="I32" i="1"/>
  <c r="I37" i="1"/>
  <c r="G72" i="1" l="1"/>
  <c r="G74" i="1" s="1"/>
  <c r="C72" i="1"/>
  <c r="G61" i="1"/>
  <c r="G63" i="1" s="1"/>
  <c r="C60" i="1"/>
  <c r="C57" i="1"/>
  <c r="C61" i="1" s="1"/>
  <c r="C63" i="1" s="1"/>
  <c r="C47" i="1"/>
  <c r="G40" i="1"/>
  <c r="E40" i="1"/>
  <c r="C39" i="1"/>
  <c r="C37" i="1"/>
  <c r="C35" i="1"/>
  <c r="C32" i="1"/>
  <c r="C29" i="1"/>
  <c r="I28" i="1"/>
  <c r="I40" i="1" s="1"/>
  <c r="C28" i="1"/>
  <c r="C27" i="1"/>
  <c r="C40" i="1" s="1"/>
  <c r="I21" i="1"/>
  <c r="I23" i="1" s="1"/>
  <c r="G21" i="1"/>
  <c r="E21" i="1"/>
  <c r="G20" i="1"/>
  <c r="C20" i="1"/>
  <c r="G15" i="1"/>
  <c r="I14" i="1"/>
  <c r="G14" i="1"/>
  <c r="E14" i="1"/>
  <c r="E23" i="1" s="1"/>
  <c r="E42" i="1" s="1"/>
  <c r="C14" i="1"/>
  <c r="C21" i="1" s="1"/>
  <c r="C23" i="1" s="1"/>
  <c r="C42" i="1" s="1"/>
  <c r="C49" i="1" s="1"/>
  <c r="C66" i="1" s="1"/>
  <c r="C74" i="1" s="1"/>
  <c r="G13" i="1"/>
  <c r="G12" i="1"/>
  <c r="G11" i="1"/>
  <c r="I9" i="1"/>
  <c r="E9" i="1"/>
  <c r="C9" i="1"/>
  <c r="G5" i="1"/>
  <c r="G9" i="1" s="1"/>
  <c r="G23" i="1" s="1"/>
  <c r="G42" i="1" s="1"/>
  <c r="E5" i="1"/>
  <c r="I42" i="1" l="1"/>
  <c r="N47" i="1" l="1"/>
</calcChain>
</file>

<file path=xl/sharedStrings.xml><?xml version="1.0" encoding="utf-8"?>
<sst xmlns="http://schemas.openxmlformats.org/spreadsheetml/2006/main" count="194" uniqueCount="184">
  <si>
    <t>Resultatregnskap</t>
  </si>
  <si>
    <t>Regnskap</t>
  </si>
  <si>
    <t xml:space="preserve">Budsjett </t>
  </si>
  <si>
    <t xml:space="preserve">Regnskap </t>
  </si>
  <si>
    <t>Inntekter</t>
  </si>
  <si>
    <t>Noter</t>
  </si>
  <si>
    <t>Støtte Tufteapperater</t>
  </si>
  <si>
    <t>Sponsor</t>
  </si>
  <si>
    <t xml:space="preserve">Salg- og støtte </t>
  </si>
  <si>
    <t>Offentlige tilskudd</t>
  </si>
  <si>
    <t>Leieinntekt</t>
  </si>
  <si>
    <t>Medlems kont</t>
  </si>
  <si>
    <t>Aktivitets avg</t>
  </si>
  <si>
    <t>Egenadel</t>
  </si>
  <si>
    <t>Andre inntekter</t>
  </si>
  <si>
    <t>Sum inntekter</t>
  </si>
  <si>
    <t>Resultet</t>
  </si>
  <si>
    <t>Budsjett</t>
  </si>
  <si>
    <t>Resultat</t>
  </si>
  <si>
    <t>Kostnader</t>
  </si>
  <si>
    <t>Sosiale kostnader</t>
  </si>
  <si>
    <t>Salgskostnader</t>
  </si>
  <si>
    <t>Leiekostnader</t>
  </si>
  <si>
    <t>Humleby ute og inne</t>
  </si>
  <si>
    <t>Bjøråsen</t>
  </si>
  <si>
    <t>Forsikring</t>
  </si>
  <si>
    <t>Tap</t>
  </si>
  <si>
    <t>Andre kostnader</t>
  </si>
  <si>
    <t>SUM</t>
  </si>
  <si>
    <t>Driftsresultat</t>
  </si>
  <si>
    <t>Rente- og gebyr inntekter</t>
  </si>
  <si>
    <t>Rente og gebyr kostn</t>
  </si>
  <si>
    <t xml:space="preserve"> </t>
  </si>
  <si>
    <t>Sum Finanskostnader</t>
  </si>
  <si>
    <t>EIENDELER</t>
  </si>
  <si>
    <t>OMLØPSMIDLER</t>
  </si>
  <si>
    <t>Fordringer</t>
  </si>
  <si>
    <t>Kontanter</t>
  </si>
  <si>
    <t>Bank</t>
  </si>
  <si>
    <t>SUM OMLØPSMIDLER</t>
  </si>
  <si>
    <t>SUM EIENDELER</t>
  </si>
  <si>
    <t>GJELD OG EGENKAPITAL</t>
  </si>
  <si>
    <t>Opptjent egenkapital</t>
  </si>
  <si>
    <t>Gjeld</t>
  </si>
  <si>
    <t>Kortsiktig gjeld</t>
  </si>
  <si>
    <t>Leverandørgjeld</t>
  </si>
  <si>
    <t>Sum gjeld</t>
  </si>
  <si>
    <t>SUM TOTALKAPITAL</t>
  </si>
  <si>
    <t>Stevneinntekter og utstyr</t>
  </si>
  <si>
    <t>Lotteri og Grasrot</t>
  </si>
  <si>
    <t>Lam og hodestøtte</t>
  </si>
  <si>
    <t>Mva komp</t>
  </si>
  <si>
    <t>Drift støtte /tilskudd</t>
  </si>
  <si>
    <t>Arrangement</t>
  </si>
  <si>
    <t>Økonomisk og juridisk bistand</t>
  </si>
  <si>
    <t>trening-kamp-cup,-kostn</t>
  </si>
  <si>
    <t>Idrettsutstyr</t>
  </si>
  <si>
    <t>Programvarer</t>
  </si>
  <si>
    <t>Forpliktelser</t>
  </si>
  <si>
    <t>Morten Busch</t>
  </si>
  <si>
    <t>Leder kontrollkomite /s</t>
  </si>
  <si>
    <t>Sissel Smeby</t>
  </si>
  <si>
    <t>Ellen-Vera H.Haug</t>
  </si>
  <si>
    <t>Styremedlem  / s</t>
  </si>
  <si>
    <t>Espen Dalen</t>
  </si>
  <si>
    <t>Leder / s</t>
  </si>
  <si>
    <t>Nestleder  / s</t>
  </si>
  <si>
    <t>Elene M. Håkonsen-Løkken</t>
  </si>
  <si>
    <t>Said Achalhi</t>
  </si>
  <si>
    <t>TOTALREGNSKAP ROMSÅS IDRETTSLAG 2020</t>
  </si>
  <si>
    <t>BALANSE ROMSÅS IDRETTSLAG  2020</t>
  </si>
  <si>
    <t>Andre intekter</t>
  </si>
  <si>
    <t>Adm kostnader og styrehonorar</t>
  </si>
  <si>
    <t>Varer på lager  (turn)</t>
  </si>
  <si>
    <t>Forskud- og påløpte betalinger</t>
  </si>
  <si>
    <t>NOTET TIL REGNSKAPET, ROMSÅS IDRETTSLAG 2020</t>
  </si>
  <si>
    <t>Romsås IL har 2021 gått over til å benytte Idrettenss regnskapskontor (IRK)</t>
  </si>
  <si>
    <t>Totalregnskapet er prøvd å settes opp på samme måte som fjorårets regnskap, men grupperesultatene</t>
  </si>
  <si>
    <t xml:space="preserve">står slik de blir produsert av IRK. </t>
  </si>
  <si>
    <t>Idrettslaget følger regnskapsloven, og har ingen ansatt.</t>
  </si>
  <si>
    <t>Note 6, se lengre ned</t>
  </si>
  <si>
    <t>Note 7, Adm k og styrehonorar</t>
  </si>
  <si>
    <t>Styrehonorar, grupper hall</t>
  </si>
  <si>
    <t>og hovesdstyret</t>
  </si>
  <si>
    <t>Note 2 Driftstøtte / tilskudd</t>
  </si>
  <si>
    <t>Diverse grupper</t>
  </si>
  <si>
    <t>Vi har i år fått støtte både til rehab klubbhus</t>
  </si>
  <si>
    <t xml:space="preserve">modul og aktivitetsavgifter både via fritidskortet </t>
  </si>
  <si>
    <t>og ved nedstenging på våren fra:</t>
  </si>
  <si>
    <t>Driftstøtte, Bomiljøtilskudd/Groruddalsmiddler</t>
  </si>
  <si>
    <t>Note 8, Tap</t>
  </si>
  <si>
    <t xml:space="preserve">OIK inkluderingsmiddler, Fritidskortet </t>
  </si>
  <si>
    <t>Fotball</t>
  </si>
  <si>
    <t>Dekning deler tap vår fra Bydelen</t>
  </si>
  <si>
    <t>Håndball</t>
  </si>
  <si>
    <t>Sparebankstiftelsen</t>
  </si>
  <si>
    <t xml:space="preserve">Samlet totalt </t>
  </si>
  <si>
    <t>Note 9 Andre kostnader</t>
  </si>
  <si>
    <t>Note 3 Dugnad og andre inntekter</t>
  </si>
  <si>
    <t>Foredrag</t>
  </si>
  <si>
    <t>Turn</t>
  </si>
  <si>
    <t>Div korrigeringer, grupper</t>
  </si>
  <si>
    <t>Håndball J 2006, AKS, etc</t>
  </si>
  <si>
    <t>Div lønn</t>
  </si>
  <si>
    <t>Såpe, papir og smittevern</t>
  </si>
  <si>
    <t>Hovedstyret</t>
  </si>
  <si>
    <t>Hjertestarter</t>
  </si>
  <si>
    <t>Div</t>
  </si>
  <si>
    <t>Note 4, Trening-kamp-cup,-kostn</t>
  </si>
  <si>
    <t>Bøter</t>
  </si>
  <si>
    <t>Note 10, 1500 kundefordring</t>
  </si>
  <si>
    <t>Dommerhonorar</t>
  </si>
  <si>
    <t>Bydelen</t>
  </si>
  <si>
    <t>Lisenser</t>
  </si>
  <si>
    <t>Korr</t>
  </si>
  <si>
    <t>O og Trim</t>
  </si>
  <si>
    <t>Div håndball</t>
  </si>
  <si>
    <t>Overgang</t>
  </si>
  <si>
    <t>Påmeldinger</t>
  </si>
  <si>
    <t>Reisekostnader</t>
  </si>
  <si>
    <t>Trener og andre</t>
  </si>
  <si>
    <t>Note 11, 1700 Forskud- og påløpte/betalte</t>
  </si>
  <si>
    <t>Hjemmeside</t>
  </si>
  <si>
    <t>Learn Håndball</t>
  </si>
  <si>
    <t>Ikke ført Baypass</t>
  </si>
  <si>
    <t>Note 5, Idrettsutstyr</t>
  </si>
  <si>
    <t>Grasrot</t>
  </si>
  <si>
    <t>Bomiljøtilsk / Gr. Midl</t>
  </si>
  <si>
    <t>AKS håndball</t>
  </si>
  <si>
    <t>Note 6, Humleby inne og ute, +</t>
  </si>
  <si>
    <t>Støtte etc 2021</t>
  </si>
  <si>
    <t xml:space="preserve">Sparebankstiftelsen </t>
  </si>
  <si>
    <t>Modul/kontainer</t>
  </si>
  <si>
    <t>Bomiljøtilskudd</t>
  </si>
  <si>
    <t>Skifterom/4 dører</t>
  </si>
  <si>
    <t>Driftstøtte</t>
  </si>
  <si>
    <t xml:space="preserve">Malt toalett, gang, </t>
  </si>
  <si>
    <t>Fotball andel</t>
  </si>
  <si>
    <t>lakkert benker</t>
  </si>
  <si>
    <t>Rest fra tidligere støtte</t>
  </si>
  <si>
    <t>under trapp</t>
  </si>
  <si>
    <t>Holt Elektro modulen</t>
  </si>
  <si>
    <t>Skifte alle låser</t>
  </si>
  <si>
    <t>Kran ute</t>
  </si>
  <si>
    <t>NG frakt søppel</t>
  </si>
  <si>
    <t>Note 12, Forpliktelse</t>
  </si>
  <si>
    <t>Inventar</t>
  </si>
  <si>
    <t>Rest Ullmax fond (håndball)</t>
  </si>
  <si>
    <t>Renovasjon</t>
  </si>
  <si>
    <t>Note 13, Kortsiktig gjeld</t>
  </si>
  <si>
    <t>Maling utvandig</t>
  </si>
  <si>
    <t>Nabolagsklubb</t>
  </si>
  <si>
    <t>Holt Elektro 2. etg</t>
  </si>
  <si>
    <t>Avset. fra tidligere</t>
  </si>
  <si>
    <t>Gammelt/ ukjent</t>
  </si>
  <si>
    <t xml:space="preserve">Tidligere støtte </t>
  </si>
  <si>
    <t>NIF (regnskap)</t>
  </si>
  <si>
    <t>Rest tidligere støtte</t>
  </si>
  <si>
    <t>Visma (regnskap)</t>
  </si>
  <si>
    <t>Øvrige kostnader</t>
  </si>
  <si>
    <t>NHF</t>
  </si>
  <si>
    <t>Renhold</t>
  </si>
  <si>
    <t>Internett</t>
  </si>
  <si>
    <t>B K</t>
  </si>
  <si>
    <t>Feilførte overg.</t>
  </si>
  <si>
    <t>Akers Avis</t>
  </si>
  <si>
    <t>Kontor grupper og klubbhus</t>
  </si>
  <si>
    <t>Domeneshop</t>
  </si>
  <si>
    <t>Diverse</t>
  </si>
  <si>
    <t>Lindorf</t>
  </si>
  <si>
    <t>Intern</t>
  </si>
  <si>
    <t>Til orientering, Bomiljøtilskudd</t>
  </si>
  <si>
    <t>Støtte som gjenstår kr 16 000</t>
  </si>
  <si>
    <t>Skal dekke 49 % av inredning i Modulen</t>
  </si>
  <si>
    <t>i fotballen sitt rom</t>
  </si>
  <si>
    <t>Grorud Torg (Håndall)</t>
  </si>
  <si>
    <t>Barteravtale (Håndball)</t>
  </si>
  <si>
    <t xml:space="preserve">Note 1 Sponsorer </t>
  </si>
  <si>
    <t>Uidentifisert</t>
  </si>
  <si>
    <t>Sum totalt</t>
  </si>
  <si>
    <t>ÅRSRESULTAT/underskudd</t>
  </si>
  <si>
    <t>Finnansinntekter /kostnader</t>
  </si>
  <si>
    <t>Oslo,  18.03.21</t>
  </si>
  <si>
    <t>Rest tidligere støtte består 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</si>
</sst>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 * #,##0.00_ ;_ * \-#,##0.00_ ;_ * &quot;-&quot;??_ ;_ @_ "/>
    <numFmt numFmtId="166" formatCode="_ * #,##0_ ;_ * \-#,##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i/>
      <sz val="11"/>
      <color theme="2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164" fontId="5" fillId="0" borderId="0" xfId="1" applyNumberFormat="1" applyFont="1"/>
    <xf numFmtId="0" fontId="5" fillId="0" borderId="0" xfId="0" applyFont="1"/>
    <xf numFmtId="0" fontId="2" fillId="0" borderId="0" xfId="0" applyFont="1"/>
    <xf numFmtId="0" fontId="6" fillId="0" borderId="0" xfId="0" applyFont="1"/>
    <xf numFmtId="164" fontId="7" fillId="0" borderId="0" xfId="1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164" fontId="5" fillId="0" borderId="0" xfId="1" applyNumberFormat="1" applyFont="1" applyBorder="1"/>
    <xf numFmtId="164" fontId="0" fillId="0" borderId="0" xfId="1" applyNumberFormat="1" applyFont="1"/>
    <xf numFmtId="164" fontId="5" fillId="0" borderId="1" xfId="1" applyNumberFormat="1" applyFont="1" applyBorder="1"/>
    <xf numFmtId="164" fontId="7" fillId="0" borderId="0" xfId="1" applyNumberFormat="1" applyFont="1"/>
    <xf numFmtId="164" fontId="5" fillId="0" borderId="0" xfId="1" applyNumberFormat="1" applyFont="1" applyFill="1" applyBorder="1"/>
    <xf numFmtId="164" fontId="5" fillId="0" borderId="1" xfId="1" applyNumberFormat="1" applyFont="1" applyFill="1" applyBorder="1"/>
    <xf numFmtId="0" fontId="2" fillId="0" borderId="0" xfId="0" applyFont="1" applyAlignment="1">
      <alignment horizontal="center"/>
    </xf>
    <xf numFmtId="164" fontId="5" fillId="0" borderId="0" xfId="1" applyNumberFormat="1" applyFont="1" applyFill="1"/>
    <xf numFmtId="164" fontId="5" fillId="0" borderId="0" xfId="0" applyNumberFormat="1" applyFont="1"/>
    <xf numFmtId="164" fontId="7" fillId="0" borderId="0" xfId="1" applyNumberFormat="1" applyFont="1" applyFill="1"/>
    <xf numFmtId="166" fontId="0" fillId="0" borderId="0" xfId="2" applyNumberFormat="1" applyFont="1"/>
    <xf numFmtId="164" fontId="2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6" fontId="2" fillId="0" borderId="0" xfId="2" applyNumberFormat="1" applyFont="1"/>
    <xf numFmtId="166" fontId="0" fillId="0" borderId="0" xfId="0" applyNumberFormat="1"/>
    <xf numFmtId="0" fontId="8" fillId="0" borderId="0" xfId="0" applyFont="1"/>
    <xf numFmtId="164" fontId="0" fillId="0" borderId="0" xfId="0" applyNumberFormat="1"/>
    <xf numFmtId="164" fontId="2" fillId="0" borderId="0" xfId="1" applyNumberFormat="1" applyFont="1" applyAlignment="1">
      <alignment horizontal="center"/>
    </xf>
    <xf numFmtId="164" fontId="7" fillId="0" borderId="2" xfId="1" applyNumberFormat="1" applyFont="1" applyBorder="1"/>
    <xf numFmtId="164" fontId="4" fillId="0" borderId="0" xfId="1" applyNumberFormat="1" applyFont="1" applyAlignment="1">
      <alignment horizontal="center"/>
    </xf>
    <xf numFmtId="0" fontId="5" fillId="0" borderId="0" xfId="0" applyFont="1" applyFill="1"/>
    <xf numFmtId="164" fontId="5" fillId="0" borderId="0" xfId="0" applyNumberFormat="1" applyFont="1" applyFill="1"/>
    <xf numFmtId="164" fontId="5" fillId="0" borderId="2" xfId="1" applyNumberFormat="1" applyFont="1" applyBorder="1"/>
    <xf numFmtId="164" fontId="5" fillId="0" borderId="2" xfId="1" applyNumberFormat="1" applyFont="1" applyFill="1" applyBorder="1"/>
    <xf numFmtId="0" fontId="5" fillId="0" borderId="0" xfId="0" applyFont="1" applyBorder="1"/>
    <xf numFmtId="164" fontId="0" fillId="0" borderId="0" xfId="1" applyNumberFormat="1" applyFont="1" applyFill="1" applyBorder="1" applyAlignment="1">
      <alignment horizontal="right"/>
    </xf>
    <xf numFmtId="164" fontId="7" fillId="0" borderId="0" xfId="1" applyNumberFormat="1" applyFont="1" applyFill="1" applyAlignment="1">
      <alignment horizontal="center"/>
    </xf>
    <xf numFmtId="164" fontId="7" fillId="0" borderId="0" xfId="0" applyNumberFormat="1" applyFont="1"/>
    <xf numFmtId="49" fontId="7" fillId="0" borderId="0" xfId="1" applyNumberFormat="1" applyFont="1" applyFill="1" applyAlignment="1">
      <alignment horizontal="center"/>
    </xf>
    <xf numFmtId="0" fontId="9" fillId="0" borderId="0" xfId="0" applyFont="1"/>
    <xf numFmtId="0" fontId="10" fillId="0" borderId="0" xfId="0" applyFont="1"/>
    <xf numFmtId="164" fontId="10" fillId="0" borderId="0" xfId="1" applyNumberFormat="1" applyFont="1"/>
    <xf numFmtId="49" fontId="7" fillId="0" borderId="0" xfId="1" applyNumberFormat="1" applyFont="1"/>
    <xf numFmtId="164" fontId="2" fillId="0" borderId="0" xfId="1" applyNumberFormat="1" applyFont="1"/>
    <xf numFmtId="164" fontId="0" fillId="0" borderId="1" xfId="1" applyNumberFormat="1" applyFont="1" applyBorder="1"/>
    <xf numFmtId="164" fontId="0" fillId="0" borderId="0" xfId="1" applyNumberFormat="1" applyFont="1" applyFill="1"/>
    <xf numFmtId="164" fontId="2" fillId="0" borderId="0" xfId="1" applyNumberFormat="1" applyFont="1" applyFill="1"/>
    <xf numFmtId="49" fontId="0" fillId="0" borderId="0" xfId="1" applyNumberFormat="1" applyFont="1"/>
    <xf numFmtId="49" fontId="0" fillId="0" borderId="0" xfId="0" applyNumberFormat="1"/>
    <xf numFmtId="49" fontId="5" fillId="0" borderId="0" xfId="1" applyNumberFormat="1" applyFont="1"/>
    <xf numFmtId="49" fontId="2" fillId="0" borderId="0" xfId="0" applyNumberFormat="1" applyFont="1"/>
    <xf numFmtId="49" fontId="5" fillId="0" borderId="0" xfId="1" applyNumberFormat="1" applyFont="1" applyBorder="1"/>
    <xf numFmtId="49" fontId="5" fillId="0" borderId="1" xfId="1" applyNumberFormat="1" applyFont="1" applyBorder="1"/>
    <xf numFmtId="164" fontId="0" fillId="0" borderId="0" xfId="1" applyNumberFormat="1" applyFont="1" applyAlignment="1">
      <alignment horizontal="right"/>
    </xf>
    <xf numFmtId="164" fontId="0" fillId="0" borderId="0" xfId="1" applyNumberFormat="1" applyFont="1" applyBorder="1" applyAlignment="1">
      <alignment horizontal="right"/>
    </xf>
    <xf numFmtId="164" fontId="0" fillId="0" borderId="1" xfId="1" applyNumberFormat="1" applyFont="1" applyFill="1" applyBorder="1" applyAlignment="1">
      <alignment horizontal="right"/>
    </xf>
    <xf numFmtId="0" fontId="0" fillId="0" borderId="1" xfId="0" applyBorder="1"/>
    <xf numFmtId="164" fontId="2" fillId="0" borderId="0" xfId="1" applyNumberFormat="1" applyFont="1" applyAlignment="1">
      <alignment horizontal="right"/>
    </xf>
    <xf numFmtId="0" fontId="11" fillId="0" borderId="0" xfId="0" applyFont="1"/>
    <xf numFmtId="164" fontId="11" fillId="0" borderId="0" xfId="1" applyNumberFormat="1" applyFont="1"/>
    <xf numFmtId="164" fontId="11" fillId="0" borderId="1" xfId="1" applyNumberFormat="1" applyFont="1" applyBorder="1"/>
    <xf numFmtId="164" fontId="0" fillId="0" borderId="1" xfId="0" applyNumberFormat="1" applyBorder="1"/>
    <xf numFmtId="0" fontId="12" fillId="0" borderId="0" xfId="0" applyFont="1"/>
    <xf numFmtId="0" fontId="12" fillId="0" borderId="1" xfId="0" applyFont="1" applyBorder="1"/>
    <xf numFmtId="164" fontId="12" fillId="0" borderId="0" xfId="0" applyNumberFormat="1" applyFont="1"/>
    <xf numFmtId="0" fontId="13" fillId="0" borderId="0" xfId="0" applyFont="1"/>
    <xf numFmtId="49" fontId="0" fillId="0" borderId="0" xfId="1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1" xfId="1" applyNumberFormat="1" applyFont="1" applyBorder="1" applyAlignment="1">
      <alignment horizontal="right"/>
    </xf>
    <xf numFmtId="0" fontId="7" fillId="0" borderId="0" xfId="0" applyFont="1" applyBorder="1"/>
    <xf numFmtId="164" fontId="7" fillId="0" borderId="0" xfId="1" applyNumberFormat="1" applyFont="1" applyBorder="1"/>
    <xf numFmtId="49" fontId="7" fillId="0" borderId="0" xfId="1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164" fontId="5" fillId="0" borderId="0" xfId="1" applyNumberFormat="1" applyFont="1" applyAlignment="1">
      <alignment horizontal="right"/>
    </xf>
  </cellXfs>
  <cellStyles count="3">
    <cellStyle name="Komma" xfId="1" builtinId="3"/>
    <cellStyle name="Komma 2" xfId="2" xr:uid="{EABAA30D-9532-4702-81B3-8A357E7644F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24023-A9E8-4450-BCC5-75B5A742FEA9}">
  <dimension ref="A1:P93"/>
  <sheetViews>
    <sheetView tabSelected="1" workbookViewId="0">
      <pane xSplit="1" topLeftCell="B1" activePane="topRight" state="frozen"/>
      <selection activeCell="A24" sqref="A24"/>
      <selection pane="topRight"/>
    </sheetView>
  </sheetViews>
  <sheetFormatPr baseColWidth="10" defaultRowHeight="14.4" x14ac:dyDescent="0.3"/>
  <cols>
    <col min="1" max="1" width="21.21875" style="4" customWidth="1"/>
    <col min="2" max="2" width="4" style="2" customWidth="1"/>
    <col min="3" max="3" width="13.77734375" style="3" bestFit="1" customWidth="1"/>
    <col min="4" max="4" width="4" style="3" customWidth="1"/>
    <col min="5" max="5" width="10.6640625" style="3" customWidth="1"/>
    <col min="6" max="6" width="6.5546875" style="3" customWidth="1"/>
    <col min="7" max="7" width="10.6640625" style="3" customWidth="1"/>
    <col min="8" max="8" width="5" style="3" customWidth="1"/>
    <col min="9" max="9" width="10.6640625" style="17" customWidth="1"/>
    <col min="10" max="10" width="23" customWidth="1"/>
    <col min="12" max="12" width="8.21875" customWidth="1"/>
    <col min="13" max="13" width="30.77734375" bestFit="1" customWidth="1"/>
    <col min="14" max="14" width="11.5546875" style="11"/>
  </cols>
  <sheetData>
    <row r="1" spans="1:16" ht="22.8" x14ac:dyDescent="0.4">
      <c r="A1" s="1" t="s">
        <v>69</v>
      </c>
      <c r="H1" s="4"/>
      <c r="J1" s="40" t="s">
        <v>75</v>
      </c>
      <c r="K1" s="41"/>
      <c r="L1" s="41"/>
      <c r="M1" s="41"/>
      <c r="N1" s="42"/>
    </row>
    <row r="2" spans="1:16" x14ac:dyDescent="0.3">
      <c r="H2" s="4"/>
      <c r="J2" t="s">
        <v>76</v>
      </c>
    </row>
    <row r="3" spans="1:16" ht="15.6" x14ac:dyDescent="0.3">
      <c r="A3" s="6" t="s">
        <v>0</v>
      </c>
      <c r="C3" s="7" t="s">
        <v>1</v>
      </c>
      <c r="D3" s="7"/>
      <c r="E3" s="7" t="s">
        <v>2</v>
      </c>
      <c r="F3" s="7"/>
      <c r="G3" s="7" t="s">
        <v>3</v>
      </c>
      <c r="H3" s="8"/>
      <c r="I3" s="37" t="s">
        <v>2</v>
      </c>
      <c r="J3" t="s">
        <v>77</v>
      </c>
    </row>
    <row r="4" spans="1:16" x14ac:dyDescent="0.3">
      <c r="A4" s="9" t="s">
        <v>4</v>
      </c>
      <c r="B4" s="2" t="s">
        <v>5</v>
      </c>
      <c r="C4" s="8">
        <v>2020</v>
      </c>
      <c r="D4" s="8"/>
      <c r="E4" s="8">
        <v>2020</v>
      </c>
      <c r="F4" s="8"/>
      <c r="G4" s="72">
        <v>2019</v>
      </c>
      <c r="H4" s="73"/>
      <c r="I4" s="39">
        <v>2021</v>
      </c>
      <c r="J4" t="s">
        <v>78</v>
      </c>
    </row>
    <row r="5" spans="1:16" x14ac:dyDescent="0.3">
      <c r="A5" s="4" t="s">
        <v>48</v>
      </c>
      <c r="C5" s="17">
        <v>34526</v>
      </c>
      <c r="E5" s="3">
        <f>5000+3000</f>
        <v>8000</v>
      </c>
      <c r="G5" s="74">
        <f>11005+111389</f>
        <v>122394</v>
      </c>
      <c r="H5" s="4"/>
      <c r="I5" s="17">
        <v>100000</v>
      </c>
      <c r="J5" t="s">
        <v>79</v>
      </c>
    </row>
    <row r="6" spans="1:16" x14ac:dyDescent="0.3">
      <c r="A6" s="4" t="s">
        <v>53</v>
      </c>
      <c r="C6" s="17"/>
      <c r="H6" s="4"/>
      <c r="I6" s="17">
        <v>55000</v>
      </c>
    </row>
    <row r="7" spans="1:16" x14ac:dyDescent="0.3">
      <c r="A7" s="4" t="s">
        <v>6</v>
      </c>
      <c r="C7" s="17">
        <v>0</v>
      </c>
      <c r="G7" s="3">
        <v>452000</v>
      </c>
      <c r="H7" s="4"/>
      <c r="I7" s="17">
        <v>0</v>
      </c>
      <c r="J7" s="9" t="s">
        <v>177</v>
      </c>
      <c r="K7" s="13"/>
      <c r="M7" s="43" t="s">
        <v>80</v>
      </c>
      <c r="N7"/>
    </row>
    <row r="8" spans="1:16" ht="15" thickBot="1" x14ac:dyDescent="0.35">
      <c r="A8" s="4" t="s">
        <v>7</v>
      </c>
      <c r="B8" s="2">
        <v>1</v>
      </c>
      <c r="C8" s="34">
        <v>23912</v>
      </c>
      <c r="E8" s="33"/>
      <c r="G8" s="33">
        <v>22800</v>
      </c>
      <c r="H8" s="4"/>
      <c r="I8" s="34">
        <v>18000</v>
      </c>
      <c r="J8" s="4" t="s">
        <v>175</v>
      </c>
      <c r="K8" s="3">
        <v>6000</v>
      </c>
    </row>
    <row r="9" spans="1:16" s="5" customFormat="1" x14ac:dyDescent="0.3">
      <c r="A9" s="9" t="s">
        <v>8</v>
      </c>
      <c r="B9" s="2"/>
      <c r="C9" s="19">
        <f>SUM(C5:C8)</f>
        <v>58438</v>
      </c>
      <c r="D9" s="13"/>
      <c r="E9" s="13">
        <f>SUM(E5:E8)</f>
        <v>8000</v>
      </c>
      <c r="F9" s="13"/>
      <c r="G9" s="13">
        <f>SUM(G5:G8)</f>
        <v>597194</v>
      </c>
      <c r="H9" s="9"/>
      <c r="I9" s="19">
        <f>SUM(I5:I8)</f>
        <v>173000</v>
      </c>
      <c r="J9" s="4" t="s">
        <v>176</v>
      </c>
      <c r="K9" s="10">
        <v>16912</v>
      </c>
      <c r="L9"/>
      <c r="M9"/>
      <c r="N9" s="11"/>
      <c r="O9"/>
      <c r="P9" s="21"/>
    </row>
    <row r="10" spans="1:16" x14ac:dyDescent="0.3">
      <c r="C10" s="17"/>
      <c r="H10" s="4"/>
      <c r="J10" t="s">
        <v>92</v>
      </c>
      <c r="K10" s="45">
        <v>1000</v>
      </c>
      <c r="M10" s="5" t="s">
        <v>81</v>
      </c>
    </row>
    <row r="11" spans="1:16" x14ac:dyDescent="0.3">
      <c r="A11" s="4" t="s">
        <v>52</v>
      </c>
      <c r="B11" s="2">
        <v>2</v>
      </c>
      <c r="C11" s="17">
        <v>599931</v>
      </c>
      <c r="E11" s="3">
        <v>7000</v>
      </c>
      <c r="G11" s="3">
        <f>44555+130390</f>
        <v>174945</v>
      </c>
      <c r="H11" s="4"/>
      <c r="I11" s="17">
        <v>354500</v>
      </c>
      <c r="J11" s="4"/>
      <c r="K11" s="13">
        <f>SUM(K8:K10)</f>
        <v>23912</v>
      </c>
      <c r="M11" t="s">
        <v>82</v>
      </c>
    </row>
    <row r="12" spans="1:16" x14ac:dyDescent="0.3">
      <c r="A12" s="4" t="s">
        <v>50</v>
      </c>
      <c r="C12" s="17">
        <v>294484</v>
      </c>
      <c r="E12" s="3">
        <v>330000</v>
      </c>
      <c r="G12" s="3">
        <f>169292+99250</f>
        <v>268542</v>
      </c>
      <c r="H12" s="4"/>
      <c r="I12" s="17">
        <v>188500</v>
      </c>
      <c r="M12" t="s">
        <v>83</v>
      </c>
      <c r="N12" s="11">
        <v>73190</v>
      </c>
    </row>
    <row r="13" spans="1:16" ht="15" thickBot="1" x14ac:dyDescent="0.35">
      <c r="A13" s="4" t="s">
        <v>51</v>
      </c>
      <c r="C13" s="34">
        <v>117710</v>
      </c>
      <c r="D13" s="10"/>
      <c r="E13" s="33">
        <v>117500</v>
      </c>
      <c r="F13" s="10"/>
      <c r="G13" s="33">
        <f>72840+112987</f>
        <v>185827</v>
      </c>
      <c r="H13" s="4"/>
      <c r="I13" s="34">
        <v>123000</v>
      </c>
      <c r="J13" s="9" t="s">
        <v>84</v>
      </c>
      <c r="K13" s="44"/>
      <c r="M13" t="s">
        <v>85</v>
      </c>
      <c r="N13" s="45">
        <v>53250</v>
      </c>
    </row>
    <row r="14" spans="1:16" x14ac:dyDescent="0.3">
      <c r="A14" s="9" t="s">
        <v>9</v>
      </c>
      <c r="C14" s="13">
        <f>SUM(C11:C13)</f>
        <v>1012125</v>
      </c>
      <c r="D14" s="13"/>
      <c r="E14" s="13">
        <f>SUM(E11:E13)</f>
        <v>454500</v>
      </c>
      <c r="F14" s="13"/>
      <c r="G14" s="13">
        <f>SUM(G11:G13)</f>
        <v>629314</v>
      </c>
      <c r="H14" s="9"/>
      <c r="I14" s="19">
        <f>SUM(I11:I13)</f>
        <v>666000</v>
      </c>
      <c r="J14" t="s">
        <v>86</v>
      </c>
      <c r="K14" s="46"/>
      <c r="N14" s="44">
        <f>SUM(N12:N13)</f>
        <v>126440</v>
      </c>
    </row>
    <row r="15" spans="1:16" x14ac:dyDescent="0.3">
      <c r="A15" s="9" t="s">
        <v>49</v>
      </c>
      <c r="C15" s="17">
        <v>296476</v>
      </c>
      <c r="D15" s="13"/>
      <c r="E15" s="13">
        <v>413000</v>
      </c>
      <c r="F15" s="13"/>
      <c r="G15" s="13">
        <f>14338+284324</f>
        <v>298662</v>
      </c>
      <c r="H15" s="9"/>
      <c r="I15" s="19">
        <v>292500</v>
      </c>
      <c r="J15" t="s">
        <v>87</v>
      </c>
      <c r="K15" s="46"/>
      <c r="N15"/>
    </row>
    <row r="16" spans="1:16" x14ac:dyDescent="0.3">
      <c r="A16" s="9" t="s">
        <v>10</v>
      </c>
      <c r="C16" s="19">
        <v>8350</v>
      </c>
      <c r="D16" s="13"/>
      <c r="E16" s="13">
        <v>10000</v>
      </c>
      <c r="F16" s="13"/>
      <c r="G16" s="13">
        <v>33013</v>
      </c>
      <c r="H16" s="9"/>
      <c r="J16" t="s">
        <v>88</v>
      </c>
      <c r="K16" s="46"/>
      <c r="N16"/>
    </row>
    <row r="17" spans="1:16" x14ac:dyDescent="0.3">
      <c r="A17" s="4" t="s">
        <v>11</v>
      </c>
      <c r="C17" s="17">
        <v>92597</v>
      </c>
      <c r="E17" s="3">
        <v>90000</v>
      </c>
      <c r="G17" s="3">
        <v>95144</v>
      </c>
      <c r="H17" s="4"/>
      <c r="I17" s="17">
        <v>90000</v>
      </c>
      <c r="J17" t="s">
        <v>89</v>
      </c>
      <c r="K17" s="46"/>
      <c r="M17" s="5" t="s">
        <v>90</v>
      </c>
    </row>
    <row r="18" spans="1:16" x14ac:dyDescent="0.3">
      <c r="A18" s="4" t="s">
        <v>12</v>
      </c>
      <c r="C18" s="17">
        <v>154491</v>
      </c>
      <c r="E18" s="3">
        <v>90000</v>
      </c>
      <c r="G18" s="3">
        <v>410975</v>
      </c>
      <c r="H18" s="4"/>
      <c r="I18" s="17">
        <v>355000</v>
      </c>
      <c r="J18" t="s">
        <v>91</v>
      </c>
      <c r="K18" s="46"/>
      <c r="M18" t="s">
        <v>92</v>
      </c>
      <c r="N18" s="11">
        <v>92100</v>
      </c>
      <c r="O18" s="5"/>
    </row>
    <row r="19" spans="1:16" x14ac:dyDescent="0.3">
      <c r="A19" s="4" t="s">
        <v>13</v>
      </c>
      <c r="C19" s="17">
        <v>21000</v>
      </c>
      <c r="D19" s="10"/>
      <c r="E19" s="10">
        <v>28000</v>
      </c>
      <c r="F19" s="10"/>
      <c r="G19" s="10">
        <v>25813</v>
      </c>
      <c r="H19" s="4"/>
      <c r="I19" s="14"/>
      <c r="J19" t="s">
        <v>93</v>
      </c>
      <c r="K19" s="46"/>
      <c r="M19" t="s">
        <v>94</v>
      </c>
      <c r="N19" s="45">
        <v>10778</v>
      </c>
    </row>
    <row r="20" spans="1:16" s="5" customFormat="1" ht="15" thickBot="1" x14ac:dyDescent="0.35">
      <c r="A20" s="4" t="s">
        <v>71</v>
      </c>
      <c r="B20" s="2">
        <v>3</v>
      </c>
      <c r="C20" s="34">
        <f>164665+3624</f>
        <v>168289</v>
      </c>
      <c r="D20" s="14"/>
      <c r="E20" s="33"/>
      <c r="F20" s="14"/>
      <c r="G20" s="34">
        <f>47324+14722</f>
        <v>62046</v>
      </c>
      <c r="H20" s="4"/>
      <c r="I20" s="34">
        <v>48000</v>
      </c>
      <c r="J20" s="4" t="s">
        <v>95</v>
      </c>
      <c r="K20" s="46"/>
      <c r="L20"/>
      <c r="M20"/>
      <c r="N20" s="44">
        <f>SUM(N18:N19)</f>
        <v>102878</v>
      </c>
      <c r="O20"/>
    </row>
    <row r="21" spans="1:16" x14ac:dyDescent="0.3">
      <c r="A21" s="9" t="s">
        <v>14</v>
      </c>
      <c r="C21" s="13">
        <f>SUM(C14:C20)</f>
        <v>1753328</v>
      </c>
      <c r="D21" s="13"/>
      <c r="E21" s="13">
        <f>SUM(E17:E20)</f>
        <v>208000</v>
      </c>
      <c r="F21" s="13"/>
      <c r="G21" s="13">
        <f>SUM(G17:G20)</f>
        <v>593978</v>
      </c>
      <c r="H21" s="9"/>
      <c r="I21" s="19">
        <f>SUM(I17:I20)</f>
        <v>493000</v>
      </c>
      <c r="J21" s="5" t="s">
        <v>96</v>
      </c>
      <c r="K21" s="47">
        <v>599931</v>
      </c>
      <c r="N21"/>
      <c r="O21" s="5"/>
    </row>
    <row r="22" spans="1:16" x14ac:dyDescent="0.3">
      <c r="A22" s="9"/>
      <c r="D22" s="13"/>
      <c r="E22" s="13"/>
      <c r="F22" s="13"/>
      <c r="G22" s="13"/>
      <c r="H22" s="9"/>
      <c r="I22" s="19"/>
      <c r="N22"/>
      <c r="O22" s="11"/>
    </row>
    <row r="23" spans="1:16" s="5" customFormat="1" x14ac:dyDescent="0.3">
      <c r="A23" s="9" t="s">
        <v>15</v>
      </c>
      <c r="B23" s="2"/>
      <c r="C23" s="13">
        <f>C21+C9+1</f>
        <v>1811767</v>
      </c>
      <c r="D23" s="13"/>
      <c r="E23" s="13">
        <f>E16+E15+E14+E21+E9</f>
        <v>1093500</v>
      </c>
      <c r="F23" s="13"/>
      <c r="G23" s="13">
        <f>G9+G21+G14+G15+G16</f>
        <v>2152161</v>
      </c>
      <c r="H23" s="9"/>
      <c r="I23" s="19">
        <f>I21+I16+I15+I14+I9</f>
        <v>1624500</v>
      </c>
      <c r="J23"/>
      <c r="K23"/>
      <c r="L23"/>
      <c r="M23" s="5" t="s">
        <v>97</v>
      </c>
      <c r="N23" s="11"/>
      <c r="O23"/>
    </row>
    <row r="24" spans="1:16" s="11" customFormat="1" x14ac:dyDescent="0.3">
      <c r="A24" s="3"/>
      <c r="B24" s="30"/>
      <c r="C24" s="3"/>
      <c r="I24" s="17"/>
      <c r="J24" s="5" t="s">
        <v>98</v>
      </c>
      <c r="K24" s="5"/>
      <c r="L24"/>
      <c r="M24" s="48" t="s">
        <v>99</v>
      </c>
      <c r="N24" s="11">
        <v>30000</v>
      </c>
      <c r="O24" s="4"/>
    </row>
    <row r="25" spans="1:16" x14ac:dyDescent="0.3">
      <c r="A25" s="9"/>
      <c r="C25" s="7" t="s">
        <v>16</v>
      </c>
      <c r="D25" s="16"/>
      <c r="E25" s="16" t="s">
        <v>17</v>
      </c>
      <c r="F25" s="16"/>
      <c r="G25" s="28" t="s">
        <v>18</v>
      </c>
      <c r="H25" s="16"/>
      <c r="I25" s="37" t="s">
        <v>17</v>
      </c>
      <c r="J25" s="4" t="s">
        <v>100</v>
      </c>
      <c r="K25" s="3">
        <f>1616.78+635.37+650+2541.49+1380+741+195.5</f>
        <v>7760.1399999999994</v>
      </c>
      <c r="M25" s="49" t="s">
        <v>101</v>
      </c>
      <c r="N25" s="11">
        <v>22091</v>
      </c>
      <c r="O25" s="4"/>
    </row>
    <row r="26" spans="1:16" s="4" customFormat="1" x14ac:dyDescent="0.3">
      <c r="A26" s="9" t="s">
        <v>19</v>
      </c>
      <c r="B26" s="2"/>
      <c r="C26" s="7">
        <v>2020</v>
      </c>
      <c r="D26" s="8"/>
      <c r="E26" s="8">
        <v>2020</v>
      </c>
      <c r="F26" s="13"/>
      <c r="G26" s="7">
        <v>2019</v>
      </c>
      <c r="H26" s="13"/>
      <c r="I26" s="39">
        <v>2021</v>
      </c>
      <c r="J26" s="4" t="s">
        <v>102</v>
      </c>
      <c r="K26" s="3">
        <f>28000+2750+516.82+1109.5+12000+4650+913.71+20670+2800+40250+23750</f>
        <v>137410.03</v>
      </c>
      <c r="L26"/>
      <c r="M26" s="49" t="s">
        <v>103</v>
      </c>
      <c r="N26" s="11">
        <v>54478</v>
      </c>
    </row>
    <row r="27" spans="1:16" s="4" customFormat="1" x14ac:dyDescent="0.3">
      <c r="A27" s="4" t="s">
        <v>20</v>
      </c>
      <c r="B27" s="2"/>
      <c r="C27" s="3">
        <f>9812.5+9327</f>
        <v>19139.5</v>
      </c>
      <c r="D27" s="3"/>
      <c r="E27" s="3">
        <v>114000</v>
      </c>
      <c r="G27" s="3">
        <v>62727</v>
      </c>
      <c r="I27" s="17">
        <v>16000</v>
      </c>
      <c r="J27" s="4" t="s">
        <v>92</v>
      </c>
      <c r="K27" s="3">
        <f>1109.5+500.97+88.42+1540+1000+1500+10283.13</f>
        <v>16022.02</v>
      </c>
      <c r="L27"/>
      <c r="M27" s="49" t="s">
        <v>104</v>
      </c>
      <c r="N27" s="11">
        <v>26201</v>
      </c>
    </row>
    <row r="28" spans="1:16" s="4" customFormat="1" x14ac:dyDescent="0.3">
      <c r="A28" s="4" t="s">
        <v>21</v>
      </c>
      <c r="B28" s="2"/>
      <c r="C28" s="3">
        <f>22930-3990</f>
        <v>18940</v>
      </c>
      <c r="D28" s="3"/>
      <c r="E28" s="3">
        <v>205000</v>
      </c>
      <c r="F28" s="14"/>
      <c r="G28" s="3">
        <v>48916</v>
      </c>
      <c r="H28" s="17"/>
      <c r="I28" s="17">
        <f>65000+4000</f>
        <v>69000</v>
      </c>
      <c r="J28" s="4" t="s">
        <v>105</v>
      </c>
      <c r="K28" s="10">
        <f>50+167.01+451.93+2804</f>
        <v>3472.94</v>
      </c>
      <c r="L28"/>
      <c r="M28" s="49" t="s">
        <v>106</v>
      </c>
      <c r="N28" s="11">
        <v>5558</v>
      </c>
      <c r="O28" s="31"/>
      <c r="P28" s="32"/>
    </row>
    <row r="29" spans="1:16" s="4" customFormat="1" x14ac:dyDescent="0.3">
      <c r="A29" s="4" t="s">
        <v>55</v>
      </c>
      <c r="B29" s="2">
        <v>4</v>
      </c>
      <c r="C29" s="3">
        <f>72821+28900+65458+197833+39990+16800+15826+15390+6250+7770+13860+10700</f>
        <v>491598</v>
      </c>
      <c r="D29" s="17"/>
      <c r="E29" s="17">
        <v>980200</v>
      </c>
      <c r="F29" s="17"/>
      <c r="G29" s="17">
        <v>864172</v>
      </c>
      <c r="H29" s="17"/>
      <c r="I29" s="17">
        <f>90000+343500+230000+20000+17000+18000+5000</f>
        <v>723500</v>
      </c>
      <c r="J29" s="4" t="s">
        <v>178</v>
      </c>
      <c r="K29" s="12">
        <v>3624</v>
      </c>
      <c r="L29"/>
      <c r="M29" s="49" t="s">
        <v>107</v>
      </c>
      <c r="N29" s="45">
        <f>2350+1650</f>
        <v>4000</v>
      </c>
    </row>
    <row r="30" spans="1:16" s="4" customFormat="1" x14ac:dyDescent="0.3">
      <c r="A30" s="4" t="s">
        <v>56</v>
      </c>
      <c r="B30" s="2">
        <v>5</v>
      </c>
      <c r="C30" s="3">
        <v>355374</v>
      </c>
      <c r="D30" s="17"/>
      <c r="E30" s="17"/>
      <c r="F30" s="17"/>
      <c r="G30" s="17"/>
      <c r="H30" s="17"/>
      <c r="I30" s="17">
        <f>417500+2500</f>
        <v>420000</v>
      </c>
      <c r="J30"/>
      <c r="K30" s="13">
        <f>SUM(K25:K29)</f>
        <v>168289.12999999998</v>
      </c>
      <c r="L30"/>
      <c r="M30"/>
      <c r="N30" s="44">
        <f>SUM(N24:N29)-1</f>
        <v>142327</v>
      </c>
    </row>
    <row r="31" spans="1:16" s="4" customFormat="1" x14ac:dyDescent="0.3">
      <c r="A31" s="4" t="s">
        <v>22</v>
      </c>
      <c r="B31" s="2"/>
      <c r="C31" s="3">
        <v>11681</v>
      </c>
      <c r="D31" s="17"/>
      <c r="E31" s="17">
        <v>4000</v>
      </c>
      <c r="F31" s="17"/>
      <c r="G31" s="17">
        <v>31812</v>
      </c>
      <c r="H31" s="17"/>
      <c r="I31" s="17">
        <v>16000</v>
      </c>
      <c r="J31"/>
      <c r="K31"/>
      <c r="L31"/>
      <c r="M31"/>
      <c r="N31"/>
    </row>
    <row r="32" spans="1:16" s="4" customFormat="1" x14ac:dyDescent="0.3">
      <c r="A32" s="4" t="s">
        <v>23</v>
      </c>
      <c r="B32" s="2">
        <v>6</v>
      </c>
      <c r="C32" s="3">
        <f>425446+6000+3839+15499+13715+2625+23606</f>
        <v>490730</v>
      </c>
      <c r="D32" s="17"/>
      <c r="E32" s="17">
        <v>130000</v>
      </c>
      <c r="F32" s="18"/>
      <c r="G32" s="17">
        <v>411326</v>
      </c>
      <c r="H32" s="18"/>
      <c r="I32" s="17">
        <f>11000+14500+5000+10000+5000+5000+15000</f>
        <v>65500</v>
      </c>
      <c r="J32" s="5" t="s">
        <v>108</v>
      </c>
      <c r="K32"/>
      <c r="L32"/>
      <c r="M32"/>
      <c r="N32"/>
    </row>
    <row r="33" spans="1:15" s="4" customFormat="1" x14ac:dyDescent="0.3">
      <c r="A33" s="4" t="s">
        <v>24</v>
      </c>
      <c r="B33" s="2"/>
      <c r="C33" s="3"/>
      <c r="D33" s="17"/>
      <c r="E33" s="17">
        <v>200000</v>
      </c>
      <c r="G33" s="17">
        <v>67210</v>
      </c>
      <c r="I33" s="17">
        <v>60000</v>
      </c>
      <c r="J33" s="50" t="s">
        <v>109</v>
      </c>
      <c r="K33" s="3">
        <v>6250</v>
      </c>
      <c r="L33"/>
      <c r="M33" s="51" t="s">
        <v>110</v>
      </c>
      <c r="N33" s="11"/>
    </row>
    <row r="34" spans="1:15" s="4" customFormat="1" x14ac:dyDescent="0.3">
      <c r="A34" s="4" t="s">
        <v>25</v>
      </c>
      <c r="B34" s="2"/>
      <c r="C34" s="3">
        <v>53164</v>
      </c>
      <c r="D34" s="17"/>
      <c r="E34" s="17">
        <v>37000</v>
      </c>
      <c r="G34" s="17">
        <v>32863</v>
      </c>
      <c r="I34" s="17">
        <v>57000</v>
      </c>
      <c r="J34" s="50" t="s">
        <v>111</v>
      </c>
      <c r="K34" s="3">
        <v>28900</v>
      </c>
      <c r="L34"/>
      <c r="M34" s="49" t="s">
        <v>112</v>
      </c>
      <c r="N34" s="67">
        <v>117800</v>
      </c>
    </row>
    <row r="35" spans="1:15" s="4" customFormat="1" x14ac:dyDescent="0.3">
      <c r="A35" s="4" t="s">
        <v>72</v>
      </c>
      <c r="B35" s="2">
        <v>7</v>
      </c>
      <c r="C35" s="3">
        <f>73190+29664-10700+13619+986+7563+4158+4104+1240+2616</f>
        <v>126440</v>
      </c>
      <c r="D35" s="17"/>
      <c r="E35" s="17">
        <v>146650</v>
      </c>
      <c r="F35" s="17"/>
      <c r="G35" s="17">
        <v>146327</v>
      </c>
      <c r="H35" s="17"/>
      <c r="I35" s="17">
        <f>97750+10500+10000+102000+2000+10000+2000</f>
        <v>234250</v>
      </c>
      <c r="J35" s="50" t="s">
        <v>113</v>
      </c>
      <c r="K35" s="3">
        <v>15390</v>
      </c>
      <c r="L35"/>
      <c r="M35" t="s">
        <v>114</v>
      </c>
      <c r="N35" s="68">
        <v>-100</v>
      </c>
    </row>
    <row r="36" spans="1:15" s="4" customFormat="1" x14ac:dyDescent="0.3">
      <c r="A36" s="4" t="s">
        <v>54</v>
      </c>
      <c r="B36" s="2"/>
      <c r="C36" s="3">
        <v>48750</v>
      </c>
      <c r="D36" s="17"/>
      <c r="E36" s="17"/>
      <c r="F36" s="17"/>
      <c r="G36" s="17"/>
      <c r="H36" s="17"/>
      <c r="I36" s="17">
        <v>80000</v>
      </c>
      <c r="J36" s="50" t="s">
        <v>115</v>
      </c>
      <c r="K36" s="3">
        <f>39990+10700</f>
        <v>50690</v>
      </c>
      <c r="L36"/>
      <c r="M36" s="49" t="s">
        <v>116</v>
      </c>
      <c r="N36" s="69">
        <v>7600</v>
      </c>
    </row>
    <row r="37" spans="1:15" s="4" customFormat="1" x14ac:dyDescent="0.3">
      <c r="A37" s="4" t="s">
        <v>57</v>
      </c>
      <c r="B37" s="2"/>
      <c r="C37" s="3">
        <f>20727</f>
        <v>20727</v>
      </c>
      <c r="D37" s="17"/>
      <c r="E37" s="17"/>
      <c r="F37" s="17"/>
      <c r="G37" s="17"/>
      <c r="H37" s="17"/>
      <c r="I37" s="17">
        <f>15000+20000</f>
        <v>35000</v>
      </c>
      <c r="J37" s="52" t="s">
        <v>117</v>
      </c>
      <c r="K37" s="10">
        <v>13860</v>
      </c>
      <c r="L37"/>
      <c r="M37"/>
      <c r="N37" s="44">
        <f>SUM(N34:N36)</f>
        <v>125300</v>
      </c>
    </row>
    <row r="38" spans="1:15" s="4" customFormat="1" x14ac:dyDescent="0.3">
      <c r="A38" s="4" t="s">
        <v>26</v>
      </c>
      <c r="B38" s="2">
        <v>8</v>
      </c>
      <c r="C38" s="3">
        <v>102878</v>
      </c>
      <c r="D38" s="17"/>
      <c r="E38" s="17">
        <v>0</v>
      </c>
      <c r="F38" s="17"/>
      <c r="G38" s="17">
        <v>22792</v>
      </c>
      <c r="H38" s="17"/>
      <c r="I38" s="17"/>
      <c r="J38" s="50" t="s">
        <v>118</v>
      </c>
      <c r="K38" s="3">
        <f>72821+16800</f>
        <v>89621</v>
      </c>
      <c r="L38"/>
      <c r="M38"/>
      <c r="N38"/>
      <c r="O38" s="9"/>
    </row>
    <row r="39" spans="1:15" s="4" customFormat="1" x14ac:dyDescent="0.3">
      <c r="A39" s="4" t="s">
        <v>27</v>
      </c>
      <c r="B39" s="2">
        <v>9</v>
      </c>
      <c r="C39" s="15">
        <f>54478+26201+2350+5558+30000+1650+22091-1</f>
        <v>142327</v>
      </c>
      <c r="D39" s="14"/>
      <c r="E39" s="15">
        <v>303250</v>
      </c>
      <c r="F39" s="17"/>
      <c r="G39" s="15">
        <v>140763</v>
      </c>
      <c r="H39" s="17"/>
      <c r="I39" s="15">
        <f>10700+10000+41500+25000+25000+13000</f>
        <v>125200</v>
      </c>
      <c r="J39" s="50" t="s">
        <v>119</v>
      </c>
      <c r="K39" s="3">
        <f>15826+7770</f>
        <v>23596</v>
      </c>
      <c r="L39"/>
      <c r="M39"/>
      <c r="N39"/>
    </row>
    <row r="40" spans="1:15" s="9" customFormat="1" x14ac:dyDescent="0.3">
      <c r="A40" s="9" t="s">
        <v>28</v>
      </c>
      <c r="B40" s="2"/>
      <c r="C40" s="13">
        <f>SUM(C27:C39)+1</f>
        <v>1881749.5</v>
      </c>
      <c r="D40" s="19"/>
      <c r="E40" s="19">
        <f>SUM(E27:E39)</f>
        <v>2120100</v>
      </c>
      <c r="F40" s="19"/>
      <c r="G40" s="19">
        <f>SUM(G27:G39)</f>
        <v>1828908</v>
      </c>
      <c r="H40" s="19"/>
      <c r="I40" s="19">
        <f>SUM(I27:I39)</f>
        <v>1901450</v>
      </c>
      <c r="J40" s="53" t="s">
        <v>120</v>
      </c>
      <c r="K40" s="12">
        <f>65458+197833</f>
        <v>263291</v>
      </c>
      <c r="L40"/>
      <c r="M40" s="5" t="s">
        <v>121</v>
      </c>
      <c r="N40" s="11"/>
      <c r="O40"/>
    </row>
    <row r="41" spans="1:15" s="4" customFormat="1" x14ac:dyDescent="0.3">
      <c r="B41" s="2"/>
      <c r="C41" s="3"/>
      <c r="F41" s="17"/>
      <c r="G41" s="3"/>
      <c r="H41" s="17"/>
      <c r="I41" s="19"/>
      <c r="J41" s="3"/>
      <c r="K41" s="13">
        <f>SUM(K33:K40)</f>
        <v>491598</v>
      </c>
      <c r="L41"/>
      <c r="M41" t="s">
        <v>122</v>
      </c>
      <c r="N41" s="54">
        <v>5412.5</v>
      </c>
      <c r="O41"/>
    </row>
    <row r="42" spans="1:15" x14ac:dyDescent="0.3">
      <c r="A42" s="9" t="s">
        <v>29</v>
      </c>
      <c r="C42" s="13">
        <f>C23-C40</f>
        <v>-69982.5</v>
      </c>
      <c r="D42" s="13"/>
      <c r="E42" s="13">
        <f>E23-E40</f>
        <v>-1026600</v>
      </c>
      <c r="F42" s="13"/>
      <c r="G42" s="13">
        <f>G23-G40</f>
        <v>323253</v>
      </c>
      <c r="H42" s="13"/>
      <c r="I42" s="19">
        <f>I23-I40</f>
        <v>-276950</v>
      </c>
      <c r="M42" t="s">
        <v>123</v>
      </c>
      <c r="N42" s="55">
        <v>6390</v>
      </c>
    </row>
    <row r="43" spans="1:15" x14ac:dyDescent="0.3">
      <c r="E43" s="4"/>
      <c r="M43" t="s">
        <v>124</v>
      </c>
      <c r="N43" s="54">
        <v>-2532</v>
      </c>
    </row>
    <row r="44" spans="1:15" x14ac:dyDescent="0.3">
      <c r="A44" s="9" t="s">
        <v>181</v>
      </c>
      <c r="J44" s="5" t="s">
        <v>125</v>
      </c>
      <c r="K44" s="11"/>
      <c r="M44" t="s">
        <v>126</v>
      </c>
      <c r="N44" s="36">
        <v>90873.85</v>
      </c>
    </row>
    <row r="45" spans="1:15" x14ac:dyDescent="0.3">
      <c r="A45" s="4" t="s">
        <v>30</v>
      </c>
      <c r="C45" s="3">
        <v>2517</v>
      </c>
      <c r="G45" s="3">
        <v>11312</v>
      </c>
      <c r="J45" t="s">
        <v>100</v>
      </c>
      <c r="K45" s="11">
        <v>2798</v>
      </c>
      <c r="M45" t="s">
        <v>127</v>
      </c>
      <c r="N45" s="36">
        <v>174000</v>
      </c>
    </row>
    <row r="46" spans="1:15" x14ac:dyDescent="0.3">
      <c r="A46" s="4" t="s">
        <v>31</v>
      </c>
      <c r="C46" s="12">
        <v>14815</v>
      </c>
      <c r="D46" s="20"/>
      <c r="E46"/>
      <c r="F46" s="20" t="s">
        <v>32</v>
      </c>
      <c r="G46" s="12">
        <v>-7899</v>
      </c>
      <c r="H46" s="70"/>
      <c r="I46" s="14"/>
      <c r="J46" t="s">
        <v>94</v>
      </c>
      <c r="K46" s="11">
        <v>52450</v>
      </c>
      <c r="M46" t="s">
        <v>128</v>
      </c>
      <c r="N46" s="56">
        <v>64000</v>
      </c>
    </row>
    <row r="47" spans="1:15" x14ac:dyDescent="0.3">
      <c r="A47" s="4" t="s">
        <v>33</v>
      </c>
      <c r="C47" s="13">
        <f>C45-C46</f>
        <v>-12298</v>
      </c>
      <c r="E47"/>
      <c r="F47"/>
      <c r="G47" s="71">
        <f>SUM(G45:G46)</f>
        <v>3413</v>
      </c>
      <c r="H47" s="10"/>
      <c r="I47" s="14"/>
      <c r="J47" s="57" t="s">
        <v>92</v>
      </c>
      <c r="K47" s="45">
        <v>300126</v>
      </c>
      <c r="N47" s="58">
        <f ca="1">SUM(N41:N47)</f>
        <v>338144.35</v>
      </c>
    </row>
    <row r="48" spans="1:15" x14ac:dyDescent="0.3">
      <c r="E48"/>
      <c r="F48"/>
      <c r="G48" s="10"/>
      <c r="H48" s="10"/>
      <c r="I48" s="14"/>
      <c r="K48" s="44">
        <f>SUM(K45:K47)</f>
        <v>355374</v>
      </c>
      <c r="N48"/>
    </row>
    <row r="49" spans="1:14" x14ac:dyDescent="0.3">
      <c r="A49" s="9" t="s">
        <v>180</v>
      </c>
      <c r="C49" s="13">
        <f>C42+C47</f>
        <v>-82280.5</v>
      </c>
      <c r="D49" s="13"/>
      <c r="E49" s="5"/>
      <c r="F49" s="5"/>
      <c r="G49" s="71">
        <f>G42+G47</f>
        <v>326666</v>
      </c>
      <c r="H49" s="10"/>
      <c r="I49" s="14"/>
    </row>
    <row r="50" spans="1:14" ht="22.8" x14ac:dyDescent="0.4">
      <c r="A50" s="1" t="s">
        <v>70</v>
      </c>
      <c r="D50"/>
      <c r="E50"/>
      <c r="F50" s="1"/>
      <c r="G50" s="11"/>
      <c r="H50"/>
    </row>
    <row r="51" spans="1:14" ht="22.8" x14ac:dyDescent="0.4">
      <c r="A51" s="1"/>
      <c r="D51"/>
      <c r="E51"/>
      <c r="F51" s="1"/>
      <c r="G51" s="11"/>
      <c r="H51"/>
      <c r="J51" s="13" t="s">
        <v>129</v>
      </c>
      <c r="M51" s="59" t="s">
        <v>130</v>
      </c>
      <c r="N51" s="60"/>
    </row>
    <row r="52" spans="1:14" x14ac:dyDescent="0.3">
      <c r="D52"/>
      <c r="E52"/>
      <c r="F52"/>
      <c r="G52" s="11"/>
      <c r="H52"/>
      <c r="M52" s="59" t="s">
        <v>131</v>
      </c>
      <c r="N52" s="60">
        <v>90000</v>
      </c>
    </row>
    <row r="53" spans="1:14" x14ac:dyDescent="0.3">
      <c r="D53"/>
      <c r="E53"/>
      <c r="F53"/>
      <c r="G53" s="11"/>
      <c r="H53"/>
      <c r="J53" s="11" t="s">
        <v>132</v>
      </c>
      <c r="K53" s="11">
        <v>133750</v>
      </c>
      <c r="M53" s="59" t="s">
        <v>133</v>
      </c>
      <c r="N53" s="60">
        <v>174000</v>
      </c>
    </row>
    <row r="54" spans="1:14" x14ac:dyDescent="0.3">
      <c r="A54" s="9" t="s">
        <v>34</v>
      </c>
      <c r="C54" s="7">
        <v>2020</v>
      </c>
      <c r="D54"/>
      <c r="E54" s="16"/>
      <c r="F54"/>
      <c r="G54" s="16">
        <v>2019</v>
      </c>
      <c r="H54"/>
      <c r="J54" t="s">
        <v>134</v>
      </c>
      <c r="K54" s="11"/>
      <c r="M54" s="59" t="s">
        <v>135</v>
      </c>
      <c r="N54" s="60">
        <v>29000</v>
      </c>
    </row>
    <row r="55" spans="1:14" x14ac:dyDescent="0.3">
      <c r="A55" s="9" t="s">
        <v>35</v>
      </c>
      <c r="D55"/>
      <c r="E55"/>
      <c r="F55"/>
      <c r="H55"/>
      <c r="J55" t="s">
        <v>136</v>
      </c>
      <c r="K55" s="11"/>
      <c r="M55" s="59" t="s">
        <v>137</v>
      </c>
      <c r="N55" s="60">
        <v>75000</v>
      </c>
    </row>
    <row r="56" spans="1:14" x14ac:dyDescent="0.3">
      <c r="A56" s="4" t="s">
        <v>73</v>
      </c>
      <c r="C56" s="3">
        <v>11205</v>
      </c>
      <c r="D56"/>
      <c r="E56"/>
      <c r="F56"/>
      <c r="G56" s="3">
        <v>7215</v>
      </c>
      <c r="H56"/>
      <c r="J56" t="s">
        <v>138</v>
      </c>
      <c r="M56" s="59" t="s">
        <v>139</v>
      </c>
      <c r="N56" s="61">
        <v>19820</v>
      </c>
    </row>
    <row r="57" spans="1:14" x14ac:dyDescent="0.3">
      <c r="A57" s="4" t="s">
        <v>36</v>
      </c>
      <c r="B57" s="2">
        <v>10</v>
      </c>
      <c r="C57" s="3">
        <f>125400-100</f>
        <v>125300</v>
      </c>
      <c r="D57"/>
      <c r="E57"/>
      <c r="F57"/>
      <c r="G57" s="3">
        <v>237726</v>
      </c>
      <c r="H57"/>
      <c r="J57" t="s">
        <v>140</v>
      </c>
      <c r="K57" s="11">
        <f>33390+17609+49221</f>
        <v>100220</v>
      </c>
      <c r="M57" s="59"/>
      <c r="N57" s="60">
        <f>SUM(N52:N56)</f>
        <v>387820</v>
      </c>
    </row>
    <row r="58" spans="1:14" x14ac:dyDescent="0.3">
      <c r="A58" s="4" t="s">
        <v>74</v>
      </c>
      <c r="B58" s="2">
        <v>11</v>
      </c>
      <c r="C58" s="3">
        <v>338144</v>
      </c>
      <c r="D58"/>
      <c r="E58"/>
      <c r="F58"/>
      <c r="H58"/>
      <c r="J58" t="s">
        <v>141</v>
      </c>
      <c r="K58" s="11">
        <v>68750</v>
      </c>
    </row>
    <row r="59" spans="1:14" x14ac:dyDescent="0.3">
      <c r="A59" s="4" t="s">
        <v>37</v>
      </c>
      <c r="C59" s="17">
        <v>3490</v>
      </c>
      <c r="D59"/>
      <c r="E59"/>
      <c r="F59"/>
      <c r="G59" s="3">
        <v>5288</v>
      </c>
      <c r="H59"/>
      <c r="J59" t="s">
        <v>142</v>
      </c>
      <c r="K59" s="11">
        <v>37166.5</v>
      </c>
    </row>
    <row r="60" spans="1:14" x14ac:dyDescent="0.3">
      <c r="A60" s="22" t="s">
        <v>38</v>
      </c>
      <c r="C60" s="12">
        <f>2584986-3490</f>
        <v>2581496</v>
      </c>
      <c r="D60"/>
      <c r="E60"/>
      <c r="F60"/>
      <c r="G60" s="12">
        <v>2725672</v>
      </c>
      <c r="H60"/>
      <c r="J60" t="s">
        <v>143</v>
      </c>
      <c r="K60" s="11">
        <v>14793</v>
      </c>
    </row>
    <row r="61" spans="1:14" x14ac:dyDescent="0.3">
      <c r="A61" s="23" t="s">
        <v>39</v>
      </c>
      <c r="C61" s="13">
        <f>SUM(C56:C60)</f>
        <v>3059635</v>
      </c>
      <c r="D61"/>
      <c r="E61" s="27"/>
      <c r="F61"/>
      <c r="G61" s="13">
        <f>SUM(G56:G60)</f>
        <v>2975901</v>
      </c>
      <c r="H61"/>
      <c r="J61" t="s">
        <v>144</v>
      </c>
      <c r="K61" s="27">
        <v>3927</v>
      </c>
      <c r="M61" s="5" t="s">
        <v>145</v>
      </c>
      <c r="N61"/>
    </row>
    <row r="62" spans="1:14" x14ac:dyDescent="0.3">
      <c r="D62"/>
      <c r="E62"/>
      <c r="F62"/>
      <c r="H62"/>
      <c r="J62" t="s">
        <v>146</v>
      </c>
      <c r="K62" s="11">
        <v>15499</v>
      </c>
      <c r="M62" t="s">
        <v>147</v>
      </c>
      <c r="N62"/>
    </row>
    <row r="63" spans="1:14" ht="15" thickBot="1" x14ac:dyDescent="0.35">
      <c r="A63" s="9" t="s">
        <v>40</v>
      </c>
      <c r="C63" s="29">
        <f>C61</f>
        <v>3059635</v>
      </c>
      <c r="D63"/>
      <c r="E63" s="24"/>
      <c r="F63"/>
      <c r="G63" s="29">
        <f>G61</f>
        <v>2975901</v>
      </c>
      <c r="H63"/>
      <c r="J63" t="s">
        <v>148</v>
      </c>
      <c r="K63" s="45">
        <v>13714</v>
      </c>
      <c r="N63"/>
    </row>
    <row r="64" spans="1:14" x14ac:dyDescent="0.3">
      <c r="D64"/>
      <c r="E64"/>
      <c r="F64"/>
      <c r="H64"/>
      <c r="K64" s="21">
        <f>SUM(K52:K63)</f>
        <v>387819.5</v>
      </c>
      <c r="N64"/>
    </row>
    <row r="65" spans="1:14" x14ac:dyDescent="0.3">
      <c r="A65" s="23" t="s">
        <v>41</v>
      </c>
      <c r="D65"/>
      <c r="E65"/>
      <c r="F65"/>
      <c r="H65"/>
      <c r="M65" s="5" t="s">
        <v>149</v>
      </c>
      <c r="N65"/>
    </row>
    <row r="66" spans="1:14" x14ac:dyDescent="0.3">
      <c r="A66" s="9" t="s">
        <v>42</v>
      </c>
      <c r="C66" s="13">
        <f>G66+C49</f>
        <v>2567213.5</v>
      </c>
      <c r="D66"/>
      <c r="E66" s="5"/>
      <c r="F66"/>
      <c r="G66" s="13">
        <v>2649494</v>
      </c>
      <c r="H66" s="25"/>
      <c r="J66" s="50" t="s">
        <v>150</v>
      </c>
      <c r="K66" s="11">
        <f>4663+10000+2678.8</f>
        <v>17341.8</v>
      </c>
      <c r="M66" t="s">
        <v>151</v>
      </c>
      <c r="N66" s="11">
        <v>160000</v>
      </c>
    </row>
    <row r="67" spans="1:14" x14ac:dyDescent="0.3">
      <c r="D67"/>
      <c r="E67"/>
      <c r="F67"/>
      <c r="H67"/>
      <c r="J67" t="s">
        <v>152</v>
      </c>
      <c r="K67" s="62">
        <v>27146</v>
      </c>
      <c r="M67" t="s">
        <v>153</v>
      </c>
      <c r="N67" s="11">
        <v>261509</v>
      </c>
    </row>
    <row r="68" spans="1:14" x14ac:dyDescent="0.3">
      <c r="A68" s="23" t="s">
        <v>43</v>
      </c>
      <c r="D68"/>
      <c r="E68" s="20"/>
      <c r="F68"/>
      <c r="H68"/>
      <c r="K68" s="21">
        <f>K66+K67</f>
        <v>44487.8</v>
      </c>
      <c r="M68" t="s">
        <v>154</v>
      </c>
      <c r="N68" s="11">
        <v>1250</v>
      </c>
    </row>
    <row r="69" spans="1:14" x14ac:dyDescent="0.3">
      <c r="A69" s="22" t="s">
        <v>58</v>
      </c>
      <c r="B69" s="2">
        <v>12</v>
      </c>
      <c r="C69" s="3">
        <v>18250</v>
      </c>
      <c r="D69"/>
      <c r="E69" s="20"/>
      <c r="F69"/>
      <c r="H69"/>
      <c r="J69" s="63" t="s">
        <v>155</v>
      </c>
      <c r="K69" s="64">
        <f>92770-19820</f>
        <v>72950</v>
      </c>
      <c r="L69" s="63"/>
      <c r="M69" t="s">
        <v>156</v>
      </c>
      <c r="N69" s="11">
        <v>24375.02</v>
      </c>
    </row>
    <row r="70" spans="1:14" x14ac:dyDescent="0.3">
      <c r="A70" s="4" t="s">
        <v>44</v>
      </c>
      <c r="B70" s="2">
        <v>13</v>
      </c>
      <c r="C70" s="3">
        <v>474172</v>
      </c>
      <c r="D70"/>
      <c r="E70"/>
      <c r="F70"/>
      <c r="G70" s="3">
        <v>325157</v>
      </c>
      <c r="H70"/>
      <c r="J70" s="63" t="s">
        <v>157</v>
      </c>
      <c r="K70" s="65">
        <f>K69-K68</f>
        <v>28462.199999999997</v>
      </c>
      <c r="M70" t="s">
        <v>158</v>
      </c>
      <c r="N70" s="3">
        <v>1950</v>
      </c>
    </row>
    <row r="71" spans="1:14" x14ac:dyDescent="0.3">
      <c r="A71" s="4" t="s">
        <v>45</v>
      </c>
      <c r="C71" s="12"/>
      <c r="D71"/>
      <c r="E71"/>
      <c r="F71"/>
      <c r="G71" s="12">
        <v>1250</v>
      </c>
      <c r="H71"/>
      <c r="J71" s="66" t="s">
        <v>159</v>
      </c>
      <c r="M71" t="s">
        <v>160</v>
      </c>
      <c r="N71" s="3">
        <v>3021</v>
      </c>
    </row>
    <row r="72" spans="1:14" x14ac:dyDescent="0.3">
      <c r="A72" s="9" t="s">
        <v>46</v>
      </c>
      <c r="C72" s="13">
        <f>SUM(C69:C71)</f>
        <v>492422</v>
      </c>
      <c r="D72"/>
      <c r="E72" s="5"/>
      <c r="F72"/>
      <c r="G72" s="13">
        <f>SUM(G70:G71)</f>
        <v>326407</v>
      </c>
      <c r="H72"/>
      <c r="J72" t="s">
        <v>161</v>
      </c>
      <c r="K72" s="11">
        <v>6000</v>
      </c>
      <c r="M72" t="s">
        <v>123</v>
      </c>
      <c r="N72" s="3">
        <v>6390</v>
      </c>
    </row>
    <row r="73" spans="1:14" x14ac:dyDescent="0.3">
      <c r="D73"/>
      <c r="E73"/>
      <c r="F73"/>
      <c r="H73"/>
      <c r="J73" t="s">
        <v>162</v>
      </c>
      <c r="K73" s="11">
        <v>3839</v>
      </c>
      <c r="M73" t="s">
        <v>163</v>
      </c>
      <c r="N73" s="3">
        <v>688</v>
      </c>
    </row>
    <row r="74" spans="1:14" ht="15" thickBot="1" x14ac:dyDescent="0.35">
      <c r="A74" s="9" t="s">
        <v>47</v>
      </c>
      <c r="C74" s="29">
        <f>C66+C72</f>
        <v>3059635.5</v>
      </c>
      <c r="D74"/>
      <c r="E74"/>
      <c r="F74"/>
      <c r="G74" s="29">
        <f>G66+G72</f>
        <v>2975901</v>
      </c>
      <c r="H74"/>
      <c r="J74" t="s">
        <v>164</v>
      </c>
      <c r="K74" s="11">
        <v>3600</v>
      </c>
      <c r="M74" t="s">
        <v>165</v>
      </c>
      <c r="N74" s="3">
        <v>562</v>
      </c>
    </row>
    <row r="75" spans="1:14" x14ac:dyDescent="0.3">
      <c r="J75" t="s">
        <v>166</v>
      </c>
      <c r="K75" s="11">
        <v>20006</v>
      </c>
      <c r="M75" t="s">
        <v>167</v>
      </c>
      <c r="N75" s="3">
        <v>435</v>
      </c>
    </row>
    <row r="76" spans="1:14" x14ac:dyDescent="0.3">
      <c r="A76" s="4" t="s">
        <v>182</v>
      </c>
      <c r="B76" s="9"/>
      <c r="D76"/>
      <c r="E76"/>
      <c r="F76"/>
      <c r="G76" s="11"/>
      <c r="H76"/>
      <c r="J76" t="s">
        <v>168</v>
      </c>
      <c r="K76" s="45">
        <f>8638+13715+2625</f>
        <v>24978</v>
      </c>
      <c r="M76" t="s">
        <v>169</v>
      </c>
      <c r="N76" s="3">
        <v>941.5</v>
      </c>
    </row>
    <row r="77" spans="1:14" x14ac:dyDescent="0.3">
      <c r="B77" s="9"/>
      <c r="D77"/>
      <c r="E77"/>
      <c r="F77"/>
      <c r="G77" s="11"/>
      <c r="H77"/>
      <c r="K77" s="21">
        <f>SUM(K72:K76)</f>
        <v>58423</v>
      </c>
      <c r="M77" t="s">
        <v>170</v>
      </c>
      <c r="N77" s="12">
        <f>1123+11927</f>
        <v>13050</v>
      </c>
    </row>
    <row r="78" spans="1:14" x14ac:dyDescent="0.3">
      <c r="B78" s="9"/>
      <c r="D78"/>
      <c r="E78"/>
      <c r="F78"/>
      <c r="G78" s="11"/>
      <c r="H78"/>
      <c r="J78" s="5" t="s">
        <v>179</v>
      </c>
      <c r="K78" s="21">
        <f>K64+K68+K77</f>
        <v>490730.3</v>
      </c>
      <c r="N78" s="38">
        <f>SUM(N66:N77)</f>
        <v>474171.52</v>
      </c>
    </row>
    <row r="79" spans="1:14" x14ac:dyDescent="0.3">
      <c r="A79" s="4" t="s">
        <v>59</v>
      </c>
      <c r="B79" s="9"/>
      <c r="C79" s="10" t="s">
        <v>61</v>
      </c>
      <c r="D79"/>
      <c r="E79"/>
      <c r="F79"/>
      <c r="G79" s="11" t="s">
        <v>62</v>
      </c>
      <c r="H79"/>
      <c r="N79"/>
    </row>
    <row r="80" spans="1:14" x14ac:dyDescent="0.3">
      <c r="A80" s="4" t="s">
        <v>60</v>
      </c>
      <c r="B80" s="9"/>
      <c r="C80" s="3" t="s">
        <v>65</v>
      </c>
      <c r="D80"/>
      <c r="E80"/>
      <c r="F80"/>
      <c r="G80" s="11" t="s">
        <v>66</v>
      </c>
      <c r="H80"/>
      <c r="J80" s="5" t="s">
        <v>171</v>
      </c>
    </row>
    <row r="81" spans="1:15" x14ac:dyDescent="0.3">
      <c r="B81" s="9"/>
      <c r="D81"/>
      <c r="E81"/>
      <c r="F81"/>
      <c r="H81"/>
      <c r="J81" t="s">
        <v>172</v>
      </c>
    </row>
    <row r="82" spans="1:15" x14ac:dyDescent="0.3">
      <c r="B82" s="9"/>
      <c r="D82"/>
      <c r="F82"/>
      <c r="G82" s="11"/>
      <c r="H82"/>
      <c r="J82" t="s">
        <v>173</v>
      </c>
    </row>
    <row r="83" spans="1:15" x14ac:dyDescent="0.3">
      <c r="B83" s="9"/>
      <c r="D83"/>
      <c r="F83"/>
      <c r="G83" s="11"/>
      <c r="H83"/>
      <c r="J83" t="s">
        <v>174</v>
      </c>
    </row>
    <row r="84" spans="1:15" x14ac:dyDescent="0.3">
      <c r="A84" s="35" t="s">
        <v>67</v>
      </c>
      <c r="B84" s="9"/>
      <c r="C84" s="3" t="s">
        <v>64</v>
      </c>
      <c r="D84"/>
      <c r="G84" s="11" t="s">
        <v>68</v>
      </c>
      <c r="H84"/>
    </row>
    <row r="85" spans="1:15" x14ac:dyDescent="0.3">
      <c r="A85" s="4" t="s">
        <v>63</v>
      </c>
      <c r="B85" s="9"/>
      <c r="C85" s="3" t="s">
        <v>63</v>
      </c>
      <c r="D85"/>
      <c r="E85"/>
      <c r="F85"/>
      <c r="G85" s="11" t="s">
        <v>63</v>
      </c>
      <c r="H85"/>
      <c r="J85" t="s">
        <v>183</v>
      </c>
    </row>
    <row r="86" spans="1:15" x14ac:dyDescent="0.3">
      <c r="B86" s="9"/>
      <c r="D86"/>
      <c r="E86"/>
      <c r="F86"/>
      <c r="G86" s="11"/>
      <c r="H86"/>
    </row>
    <row r="87" spans="1:15" x14ac:dyDescent="0.3">
      <c r="B87" s="9"/>
      <c r="D87"/>
      <c r="E87"/>
      <c r="F87"/>
      <c r="G87" s="11"/>
      <c r="H87"/>
    </row>
    <row r="88" spans="1:15" x14ac:dyDescent="0.3">
      <c r="B88" s="9"/>
      <c r="D88" s="5"/>
      <c r="F88"/>
      <c r="G88" s="11"/>
      <c r="H88"/>
    </row>
    <row r="89" spans="1:15" x14ac:dyDescent="0.3">
      <c r="B89" s="9"/>
      <c r="D89" s="5"/>
      <c r="F89"/>
      <c r="G89" s="11"/>
      <c r="H89"/>
    </row>
    <row r="90" spans="1:15" x14ac:dyDescent="0.3">
      <c r="B90" s="9"/>
      <c r="D90" s="5"/>
      <c r="F90"/>
      <c r="G90" s="11"/>
      <c r="H90"/>
    </row>
    <row r="91" spans="1:15" x14ac:dyDescent="0.3">
      <c r="B91" s="9"/>
      <c r="D91"/>
      <c r="E91"/>
      <c r="F91"/>
      <c r="G91" s="11"/>
      <c r="H91"/>
    </row>
    <row r="92" spans="1:15" x14ac:dyDescent="0.3">
      <c r="B92" s="9"/>
      <c r="D92"/>
      <c r="E92"/>
      <c r="F92"/>
      <c r="G92" s="11"/>
      <c r="H92"/>
      <c r="O92" s="26"/>
    </row>
    <row r="93" spans="1:15" x14ac:dyDescent="0.3">
      <c r="B93" s="4"/>
      <c r="C93" s="30"/>
      <c r="H93" s="4"/>
    </row>
  </sheetData>
  <sheetProtection algorithmName="SHA-512" hashValue="ZkW8MBWgUkSKA/Q5J83qIzxBRe5uFQ6yP0/x5/vCrOIoUjWqZQQDRRKBcdvHyI8clp81rZoyuikdKVKxFWPcUA==" saltValue="fYlb4XNkQijlNwdfRBxNbw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Sissel Smedby</dc:creator>
  <cp:lastModifiedBy>Sissel Smedby</cp:lastModifiedBy>
  <cp:lastPrinted>2021-03-18T22:21:18Z</cp:lastPrinted>
  <dcterms:created xsi:type="dcterms:W3CDTF">2020-04-13T12:15:44Z</dcterms:created>
  <dcterms:modified xsi:type="dcterms:W3CDTF">2021-03-19T04:35:47Z</dcterms:modified>
</cp:coreProperties>
</file>