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Sissel Smedby\Documents\RIL Hovedstyret\2021\Årsmøte\SENDES MORTEN 18.03.21\"/>
    </mc:Choice>
  </mc:AlternateContent>
  <xr:revisionPtr revIDLastSave="0" documentId="13_ncr:1_{C71EF5F1-1101-48C7-862A-05FAD3320733}" xr6:coauthVersionLast="46" xr6:coauthVersionMax="46" xr10:uidLastSave="{00000000-0000-0000-0000-000000000000}"/>
  <workbookProtection workbookAlgorithmName="SHA-512" workbookHashValue="PmYpy6xY1DkHJSMoXBcDLrznXEiSbgjA+LWD2YokiQcANvhoo3Hlfb6EO+1sWvBqUNbn6P8L3Mkz1qKKcPGsrw==" workbookSaltValue="zO07EyOy0+YF1HcRmTXV6g==" workbookSpinCount="100000" lockStructure="1"/>
  <bookViews>
    <workbookView xWindow="-108" yWindow="-108" windowWidth="23256" windowHeight="12576" xr2:uid="{00000000-000D-0000-FFFF-FFFF00000000}"/>
  </bookViews>
  <sheets>
    <sheet name="Hovedstyret" sheetId="1" r:id="rId1"/>
    <sheet name="Turn" sheetId="2" r:id="rId2"/>
    <sheet name="Håndball" sheetId="9" r:id="rId3"/>
    <sheet name="Fotball" sheetId="4" r:id="rId4"/>
    <sheet name="Aerobic" sheetId="5" r:id="rId5"/>
    <sheet name="Hallen" sheetId="6" r:id="rId6"/>
    <sheet name="Orientering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8" i="5" l="1"/>
  <c r="N72" i="9" l="1"/>
  <c r="N78" i="9"/>
  <c r="AC20" i="9"/>
  <c r="AC14" i="9"/>
  <c r="A15" i="9"/>
  <c r="A18" i="9"/>
  <c r="O73" i="1" l="1"/>
  <c r="O78" i="1" s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O28" i="5"/>
  <c r="O33" i="5"/>
  <c r="B23" i="5" a="1"/>
  <c r="B23" i="5" s="1"/>
  <c r="AC13" i="7" l="1"/>
  <c r="AC12" i="7"/>
  <c r="AC11" i="7"/>
  <c r="P54" i="2" l="1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O54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O22" i="2"/>
  <c r="P56" i="2" l="1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O56" i="2"/>
  <c r="A32" i="2" l="1"/>
  <c r="AC63" i="9" l="1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C62" i="9"/>
  <c r="B62" i="9"/>
  <c r="AB58" i="9"/>
  <c r="A58" i="9" a="1"/>
  <c r="A58" i="9" s="1"/>
  <c r="AB57" i="9"/>
  <c r="AA57" i="9"/>
  <c r="A57" i="9" a="1"/>
  <c r="A57" i="9" s="1"/>
  <c r="A56" i="9" a="1"/>
  <c r="A56" i="9" s="1"/>
  <c r="A55" i="9" a="1"/>
  <c r="A55" i="9" s="1"/>
  <c r="A54" i="9" a="1"/>
  <c r="A54" i="9" s="1"/>
  <c r="AC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D52" i="9" a="1"/>
  <c r="D52" i="9" s="1"/>
  <c r="D49" i="9" s="1"/>
  <c r="C52" i="9"/>
  <c r="B52" i="9"/>
  <c r="AA51" i="9"/>
  <c r="AB50" i="9"/>
  <c r="AB49" i="9" s="1"/>
  <c r="AA50" i="9"/>
  <c r="A50" i="9" a="1"/>
  <c r="A50" i="9" s="1"/>
  <c r="AC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C49" i="9"/>
  <c r="B49" i="9"/>
  <c r="A48" i="9" a="1"/>
  <c r="A48" i="9" s="1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B47" i="9"/>
  <c r="A46" i="9" a="1"/>
  <c r="A46" i="9" s="1"/>
  <c r="A45" i="9" a="1"/>
  <c r="A45" i="9" s="1"/>
  <c r="A44" i="9" a="1"/>
  <c r="A44" i="9" s="1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A42" i="9" a="1"/>
  <c r="A42" i="9" s="1"/>
  <c r="AB41" i="9"/>
  <c r="AA41" i="9"/>
  <c r="A41" i="9" a="1"/>
  <c r="A41" i="9" s="1"/>
  <c r="A40" i="9" a="1"/>
  <c r="A40" i="9" s="1"/>
  <c r="AA39" i="9"/>
  <c r="A39" i="9" a="1"/>
  <c r="A39" i="9" s="1"/>
  <c r="A38" i="9" a="1"/>
  <c r="A38" i="9" s="1"/>
  <c r="A37" i="9"/>
  <c r="A36" i="9" a="1"/>
  <c r="A36" i="9" s="1"/>
  <c r="AB35" i="9"/>
  <c r="AA35" i="9"/>
  <c r="A35" i="9" a="1"/>
  <c r="A35" i="9" s="1"/>
  <c r="A34" i="9" a="1"/>
  <c r="A34" i="9" s="1"/>
  <c r="AC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AA32" i="9"/>
  <c r="AA27" i="9" s="1"/>
  <c r="A32" i="9"/>
  <c r="A31" i="9" a="1"/>
  <c r="A31" i="9" s="1"/>
  <c r="A30" i="9" a="1"/>
  <c r="A30" i="9" s="1"/>
  <c r="A29" i="9" a="1"/>
  <c r="A29" i="9" s="1"/>
  <c r="A28" i="9" a="1"/>
  <c r="A28" i="9" s="1"/>
  <c r="AC27" i="9"/>
  <c r="AB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AB26" i="9"/>
  <c r="AB25" i="9" s="1"/>
  <c r="AA26" i="9"/>
  <c r="AA25" i="9" s="1"/>
  <c r="A26" i="9" a="1"/>
  <c r="A26" i="9" s="1"/>
  <c r="AC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AB20" i="9"/>
  <c r="AA20" i="9"/>
  <c r="A20" i="9" a="1"/>
  <c r="A20" i="9" s="1"/>
  <c r="A19" i="9" a="1"/>
  <c r="A19" i="9" s="1"/>
  <c r="AC18" i="9"/>
  <c r="AC16" i="9" s="1"/>
  <c r="AB18" i="9"/>
  <c r="AA18" i="9"/>
  <c r="A17" i="9" a="1"/>
  <c r="A17" i="9" s="1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AB15" i="9"/>
  <c r="AA15" i="9"/>
  <c r="AB14" i="9"/>
  <c r="AB13" i="9" s="1"/>
  <c r="AA14" i="9"/>
  <c r="A14" i="9" a="1"/>
  <c r="A14" i="9" s="1"/>
  <c r="AC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AA12" i="9"/>
  <c r="A12" i="9" a="1"/>
  <c r="A12" i="9" s="1"/>
  <c r="AB11" i="9"/>
  <c r="AB10" i="9" s="1"/>
  <c r="AA11" i="9"/>
  <c r="A11" i="9" a="1"/>
  <c r="A11" i="9" s="1"/>
  <c r="AC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  <c r="V59" i="9" l="1"/>
  <c r="AA10" i="9"/>
  <c r="R59" i="9"/>
  <c r="Z59" i="9"/>
  <c r="AC59" i="9"/>
  <c r="S59" i="9"/>
  <c r="S64" i="9" s="1"/>
  <c r="T59" i="9"/>
  <c r="U59" i="9"/>
  <c r="O59" i="9"/>
  <c r="W59" i="9"/>
  <c r="P59" i="9"/>
  <c r="X59" i="9"/>
  <c r="N59" i="9"/>
  <c r="Q59" i="9"/>
  <c r="Y59" i="9"/>
  <c r="Y64" i="9" s="1"/>
  <c r="AB16" i="9"/>
  <c r="AB33" i="9"/>
  <c r="S21" i="9"/>
  <c r="Z21" i="9"/>
  <c r="T21" i="9"/>
  <c r="R21" i="9"/>
  <c r="U21" i="9"/>
  <c r="N21" i="9"/>
  <c r="V21" i="9"/>
  <c r="AB21" i="9"/>
  <c r="AC21" i="9"/>
  <c r="O21" i="9"/>
  <c r="P21" i="9"/>
  <c r="X21" i="9"/>
  <c r="W21" i="9"/>
  <c r="W64" i="9" s="1"/>
  <c r="Q21" i="9"/>
  <c r="Y21" i="9"/>
  <c r="G21" i="9"/>
  <c r="AA33" i="9"/>
  <c r="I21" i="9"/>
  <c r="AA16" i="9"/>
  <c r="AB53" i="9"/>
  <c r="AB59" i="9" s="1"/>
  <c r="E59" i="9"/>
  <c r="U64" i="9"/>
  <c r="D21" i="9"/>
  <c r="L21" i="9"/>
  <c r="F59" i="9"/>
  <c r="K21" i="9"/>
  <c r="M59" i="9"/>
  <c r="E21" i="9"/>
  <c r="M21" i="9"/>
  <c r="G59" i="9"/>
  <c r="C21" i="9"/>
  <c r="C63" i="9" s="1"/>
  <c r="F21" i="9"/>
  <c r="H59" i="9"/>
  <c r="AA49" i="9"/>
  <c r="AA59" i="9" s="1"/>
  <c r="I59" i="9"/>
  <c r="I64" i="9" s="1"/>
  <c r="H21" i="9"/>
  <c r="J59" i="9"/>
  <c r="K59" i="9"/>
  <c r="K64" i="9" s="1"/>
  <c r="AA13" i="9"/>
  <c r="B21" i="9"/>
  <c r="J21" i="9"/>
  <c r="L59" i="9"/>
  <c r="D59" i="9"/>
  <c r="O64" i="9"/>
  <c r="Q64" i="9" l="1"/>
  <c r="N64" i="9"/>
  <c r="X64" i="9"/>
  <c r="E64" i="9"/>
  <c r="V64" i="9"/>
  <c r="AA21" i="9"/>
  <c r="J64" i="9"/>
  <c r="AA64" i="9"/>
  <c r="D64" i="9"/>
  <c r="T64" i="9"/>
  <c r="R64" i="9"/>
  <c r="G64" i="9"/>
  <c r="F64" i="9"/>
  <c r="AB64" i="9"/>
  <c r="M64" i="9"/>
  <c r="H64" i="9"/>
  <c r="P64" i="9"/>
  <c r="L64" i="9"/>
  <c r="AC64" i="9"/>
  <c r="Z64" i="9"/>
  <c r="B63" i="9"/>
  <c r="AD30" i="1" l="1"/>
  <c r="AD36" i="1"/>
  <c r="AD11" i="5"/>
  <c r="AD24" i="5" l="1"/>
  <c r="B27" i="5" a="1"/>
  <c r="B27" i="5" s="1"/>
  <c r="B25" i="5" a="1"/>
  <c r="B25" i="5" s="1"/>
  <c r="AG23" i="1" l="1"/>
  <c r="AD17" i="1"/>
  <c r="AD16" i="1"/>
  <c r="AJ28" i="1" l="1"/>
  <c r="AJ29" i="1"/>
  <c r="AJ26" i="1"/>
  <c r="AJ25" i="1"/>
  <c r="AJ24" i="1"/>
  <c r="AJ20" i="1"/>
  <c r="AJ22" i="1"/>
  <c r="AJ8" i="1"/>
  <c r="AG11" i="1"/>
  <c r="AJ30" i="1" l="1"/>
  <c r="AJ31" i="1" s="1"/>
  <c r="AJ39" i="1"/>
  <c r="AJ40" i="1" s="1"/>
  <c r="AG38" i="1"/>
  <c r="AG40" i="1" s="1"/>
  <c r="AG17" i="1"/>
  <c r="AJ15" i="1"/>
  <c r="AJ16" i="1"/>
  <c r="AJ17" i="1" l="1"/>
  <c r="B25" i="6" l="1" a="1"/>
  <c r="B25" i="6" s="1"/>
  <c r="AB22" i="6"/>
  <c r="AD22" i="6"/>
  <c r="AC22" i="6"/>
  <c r="AB29" i="6"/>
  <c r="AB28" i="6" s="1"/>
  <c r="B29" i="6" a="1"/>
  <c r="B29" i="6" s="1"/>
  <c r="B26" i="6" a="1"/>
  <c r="B26" i="6" s="1"/>
  <c r="AD34" i="6"/>
  <c r="AD28" i="6"/>
  <c r="AD30" i="6" s="1"/>
  <c r="AD20" i="6"/>
  <c r="AD14" i="6"/>
  <c r="AD12" i="6"/>
  <c r="AD10" i="6"/>
  <c r="B42" i="4"/>
  <c r="AD50" i="2"/>
  <c r="AB53" i="2"/>
  <c r="AB50" i="2" s="1"/>
  <c r="AC53" i="2"/>
  <c r="AC50" i="2" s="1"/>
  <c r="AC48" i="2"/>
  <c r="AB48" i="2"/>
  <c r="B33" i="2" a="1"/>
  <c r="B33" i="2" s="1"/>
  <c r="AB40" i="2"/>
  <c r="AC40" i="2"/>
  <c r="AC47" i="2"/>
  <c r="AB47" i="2"/>
  <c r="B53" i="2" a="1"/>
  <c r="B53" i="2" s="1"/>
  <c r="AC27" i="2"/>
  <c r="AB27" i="2"/>
  <c r="AB37" i="2"/>
  <c r="AD12" i="1"/>
  <c r="B35" i="1"/>
  <c r="AD16" i="6" l="1"/>
  <c r="AB51" i="1"/>
  <c r="AB55" i="1"/>
  <c r="AB22" i="1"/>
  <c r="AB17" i="1"/>
  <c r="AB12" i="1"/>
  <c r="P12" i="1"/>
  <c r="Q12" i="1"/>
  <c r="R12" i="1"/>
  <c r="S12" i="1"/>
  <c r="T12" i="1"/>
  <c r="U12" i="1"/>
  <c r="V12" i="1"/>
  <c r="W12" i="1"/>
  <c r="X12" i="1"/>
  <c r="Y12" i="1"/>
  <c r="Z12" i="1"/>
  <c r="AA12" i="1"/>
  <c r="AC12" i="1"/>
  <c r="AC51" i="1"/>
  <c r="AC49" i="1"/>
  <c r="AB30" i="1"/>
  <c r="AC55" i="1"/>
  <c r="AC22" i="1"/>
  <c r="AC17" i="1"/>
  <c r="P15" i="1"/>
  <c r="Q15" i="1"/>
  <c r="R15" i="1"/>
  <c r="S15" i="1"/>
  <c r="T15" i="1"/>
  <c r="U15" i="1"/>
  <c r="V15" i="1"/>
  <c r="W15" i="1"/>
  <c r="X15" i="1"/>
  <c r="Y15" i="1"/>
  <c r="Z15" i="1"/>
  <c r="AA15" i="1"/>
  <c r="AC16" i="1"/>
  <c r="AB16" i="1"/>
  <c r="B22" i="1" a="1"/>
  <c r="B22" i="1" s="1"/>
  <c r="B23" i="1" a="1"/>
  <c r="B23" i="1" s="1"/>
  <c r="AB48" i="1"/>
  <c r="AB15" i="1" l="1"/>
  <c r="AC36" i="1"/>
  <c r="AD35" i="6"/>
  <c r="AB36" i="1"/>
  <c r="AD76" i="1" l="1"/>
  <c r="AD67" i="1"/>
  <c r="AD66" i="1"/>
  <c r="AD64" i="1"/>
  <c r="AD62" i="1"/>
  <c r="AD61" i="1"/>
  <c r="AD56" i="1"/>
  <c r="AD32" i="1"/>
  <c r="AD20" i="1"/>
  <c r="AD18" i="1"/>
  <c r="AD15" i="1"/>
  <c r="AB27" i="4"/>
  <c r="AD27" i="4"/>
  <c r="AC48" i="4"/>
  <c r="AD48" i="4"/>
  <c r="AB48" i="4"/>
  <c r="AB59" i="4"/>
  <c r="B49" i="4" a="1"/>
  <c r="B49" i="4" s="1"/>
  <c r="AB36" i="4"/>
  <c r="AC27" i="4"/>
  <c r="AC41" i="4"/>
  <c r="AB41" i="4"/>
  <c r="AC37" i="4"/>
  <c r="AB37" i="4"/>
  <c r="AC36" i="4"/>
  <c r="AC40" i="4"/>
  <c r="AB38" i="4"/>
  <c r="AC38" i="4"/>
  <c r="AB40" i="4"/>
  <c r="O27" i="4"/>
  <c r="AC20" i="4"/>
  <c r="AB20" i="4"/>
  <c r="AB15" i="4"/>
  <c r="AC15" i="4"/>
  <c r="AC22" i="4"/>
  <c r="AD65" i="4"/>
  <c r="AD55" i="4"/>
  <c r="AD54" i="4"/>
  <c r="AD50" i="4"/>
  <c r="AD43" i="4"/>
  <c r="AD34" i="4"/>
  <c r="AD29" i="4"/>
  <c r="AD17" i="4"/>
  <c r="AD16" i="4"/>
  <c r="AD13" i="4"/>
  <c r="AD10" i="4"/>
  <c r="AC21" i="7"/>
  <c r="AB11" i="2"/>
  <c r="AC11" i="2"/>
  <c r="AB15" i="2"/>
  <c r="AC15" i="2"/>
  <c r="AB19" i="2"/>
  <c r="AB16" i="2" s="1"/>
  <c r="AC19" i="2"/>
  <c r="AC20" i="2"/>
  <c r="AD61" i="4" l="1"/>
  <c r="AD71" i="1"/>
  <c r="AD26" i="1"/>
  <c r="AD23" i="4"/>
  <c r="AD66" i="4" l="1"/>
  <c r="AD78" i="1"/>
  <c r="AD10" i="5" l="1"/>
  <c r="B14" i="2"/>
  <c r="AD49" i="2" l="1"/>
  <c r="AD45" i="2"/>
  <c r="AD42" i="2"/>
  <c r="AD34" i="2"/>
  <c r="AD29" i="2"/>
  <c r="AD26" i="2"/>
  <c r="AD16" i="2"/>
  <c r="AD13" i="2"/>
  <c r="AD11" i="2"/>
  <c r="AD32" i="5"/>
  <c r="AD22" i="5"/>
  <c r="AD13" i="5"/>
  <c r="AD12" i="5"/>
  <c r="AC25" i="7"/>
  <c r="B25" i="7" a="1"/>
  <c r="B25" i="7" s="1"/>
  <c r="AC24" i="7"/>
  <c r="B24" i="7" a="1"/>
  <c r="B24" i="7" s="1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AC22" i="7"/>
  <c r="B22" i="7" a="1"/>
  <c r="B22" i="7" s="1"/>
  <c r="B21" i="7" a="1"/>
  <c r="B21" i="7" s="1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C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3" i="7" a="1"/>
  <c r="B13" i="7" s="1"/>
  <c r="B12" i="7" a="1"/>
  <c r="B12" i="7" s="1"/>
  <c r="B11" i="7" a="1"/>
  <c r="B11" i="7" s="1"/>
  <c r="AC10" i="7"/>
  <c r="B10" i="7" a="1"/>
  <c r="B10" i="7" s="1"/>
  <c r="AA9" i="7"/>
  <c r="AA14" i="7" s="1"/>
  <c r="Z9" i="7"/>
  <c r="Z14" i="7" s="1"/>
  <c r="Y9" i="7"/>
  <c r="Y14" i="7" s="1"/>
  <c r="X9" i="7"/>
  <c r="X14" i="7" s="1"/>
  <c r="W9" i="7"/>
  <c r="W14" i="7" s="1"/>
  <c r="V9" i="7"/>
  <c r="V14" i="7" s="1"/>
  <c r="U9" i="7"/>
  <c r="U14" i="7" s="1"/>
  <c r="T9" i="7"/>
  <c r="T14" i="7" s="1"/>
  <c r="S9" i="7"/>
  <c r="S14" i="7" s="1"/>
  <c r="R9" i="7"/>
  <c r="R14" i="7" s="1"/>
  <c r="Q9" i="7"/>
  <c r="Q14" i="7" s="1"/>
  <c r="P9" i="7"/>
  <c r="P14" i="7" s="1"/>
  <c r="O9" i="7"/>
  <c r="O14" i="7" s="1"/>
  <c r="N9" i="7"/>
  <c r="M9" i="7"/>
  <c r="L9" i="7"/>
  <c r="K9" i="7"/>
  <c r="J9" i="7"/>
  <c r="I9" i="7"/>
  <c r="H9" i="7"/>
  <c r="G9" i="7"/>
  <c r="F9" i="7"/>
  <c r="E9" i="7"/>
  <c r="D9" i="7"/>
  <c r="C9" i="7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AC28" i="6"/>
  <c r="AA28" i="6"/>
  <c r="Z28" i="6"/>
  <c r="Y28" i="6"/>
  <c r="X28" i="6"/>
  <c r="X30" i="6" s="1"/>
  <c r="W28" i="6"/>
  <c r="V28" i="6"/>
  <c r="U28" i="6"/>
  <c r="T28" i="6"/>
  <c r="S28" i="6"/>
  <c r="R28" i="6"/>
  <c r="Q28" i="6"/>
  <c r="P28" i="6"/>
  <c r="P30" i="6" s="1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4" i="6" a="1"/>
  <c r="B24" i="6" s="1"/>
  <c r="B23" i="6" a="1"/>
  <c r="B23" i="6" s="1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1" i="6" a="1"/>
  <c r="B21" i="6" s="1"/>
  <c r="AC20" i="6"/>
  <c r="AB20" i="6"/>
  <c r="AB30" i="6" s="1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AB14" i="6"/>
  <c r="B15" i="6" a="1"/>
  <c r="B15" i="6" s="1"/>
  <c r="AC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3" i="6" a="1"/>
  <c r="B13" i="6" s="1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AB10" i="6"/>
  <c r="B11" i="6" a="1"/>
  <c r="B11" i="6" s="1"/>
  <c r="AC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26" i="5" a="1"/>
  <c r="B26" i="5" s="1"/>
  <c r="AC24" i="5"/>
  <c r="AC28" i="5" s="1"/>
  <c r="AB24" i="5"/>
  <c r="AB28" i="5" s="1"/>
  <c r="AA24" i="5"/>
  <c r="AA28" i="5" s="1"/>
  <c r="Z24" i="5"/>
  <c r="Z28" i="5" s="1"/>
  <c r="Y24" i="5"/>
  <c r="Y28" i="5" s="1"/>
  <c r="X24" i="5"/>
  <c r="X28" i="5" s="1"/>
  <c r="W24" i="5"/>
  <c r="W28" i="5" s="1"/>
  <c r="V24" i="5"/>
  <c r="V28" i="5" s="1"/>
  <c r="U24" i="5"/>
  <c r="U28" i="5" s="1"/>
  <c r="T24" i="5"/>
  <c r="T28" i="5" s="1"/>
  <c r="S24" i="5"/>
  <c r="S28" i="5" s="1"/>
  <c r="R24" i="5"/>
  <c r="R28" i="5" s="1"/>
  <c r="Q24" i="5"/>
  <c r="Q28" i="5" s="1"/>
  <c r="P24" i="5"/>
  <c r="P28" i="5" s="1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17" i="5" a="1"/>
  <c r="B17" i="5" s="1"/>
  <c r="B14" i="5" a="1"/>
  <c r="B14" i="5" s="1"/>
  <c r="AC13" i="5"/>
  <c r="AA13" i="5"/>
  <c r="Z13" i="5"/>
  <c r="Y13" i="5"/>
  <c r="Y18" i="5" s="1"/>
  <c r="X13" i="5"/>
  <c r="W13" i="5"/>
  <c r="V13" i="5"/>
  <c r="U13" i="5"/>
  <c r="U18" i="5" s="1"/>
  <c r="T13" i="5"/>
  <c r="S13" i="5"/>
  <c r="R13" i="5"/>
  <c r="Q13" i="5"/>
  <c r="Q18" i="5" s="1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AC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0" i="4" a="1"/>
  <c r="B60" i="4" s="1"/>
  <c r="B59" i="4" a="1"/>
  <c r="B59" i="4" s="1"/>
  <c r="B58" i="4" a="1"/>
  <c r="B58" i="4" s="1"/>
  <c r="B57" i="4" a="1"/>
  <c r="B57" i="4" s="1"/>
  <c r="B56" i="4" a="1"/>
  <c r="B56" i="4" s="1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3" i="4" a="1"/>
  <c r="B53" i="4" s="1"/>
  <c r="B51" i="4" a="1"/>
  <c r="B51" i="4" s="1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7" i="4" a="1"/>
  <c r="B47" i="4" s="1"/>
  <c r="B46" i="4" a="1"/>
  <c r="B46" i="4" s="1"/>
  <c r="B45" i="4" a="1"/>
  <c r="B45" i="4" s="1"/>
  <c r="B44" i="4" a="1"/>
  <c r="B44" i="4" s="1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1" i="4" a="1"/>
  <c r="B41" i="4" s="1"/>
  <c r="B40" i="4" a="1"/>
  <c r="B40" i="4" s="1"/>
  <c r="B39" i="4" a="1"/>
  <c r="B39" i="4" s="1"/>
  <c r="B37" i="4" a="1"/>
  <c r="B37" i="4" s="1"/>
  <c r="B36" i="4" a="1"/>
  <c r="B36" i="4" s="1"/>
  <c r="B35" i="4" a="1"/>
  <c r="B35" i="4" s="1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3" i="4" a="1"/>
  <c r="B33" i="4" s="1"/>
  <c r="B32" i="4" a="1"/>
  <c r="B32" i="4" s="1"/>
  <c r="B31" i="4" a="1"/>
  <c r="B31" i="4" s="1"/>
  <c r="B30" i="4" a="1"/>
  <c r="B30" i="4" s="1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AA27" i="4"/>
  <c r="Z27" i="4"/>
  <c r="Y27" i="4"/>
  <c r="X27" i="4"/>
  <c r="W27" i="4"/>
  <c r="V27" i="4"/>
  <c r="U27" i="4"/>
  <c r="T27" i="4"/>
  <c r="S27" i="4"/>
  <c r="R27" i="4"/>
  <c r="Q27" i="4"/>
  <c r="P27" i="4"/>
  <c r="N27" i="4"/>
  <c r="M27" i="4"/>
  <c r="L27" i="4"/>
  <c r="K27" i="4"/>
  <c r="J27" i="4"/>
  <c r="I27" i="4"/>
  <c r="H27" i="4"/>
  <c r="G27" i="4"/>
  <c r="F27" i="4"/>
  <c r="E27" i="4"/>
  <c r="D27" i="4"/>
  <c r="C27" i="4"/>
  <c r="AB22" i="4"/>
  <c r="B22" i="4" a="1"/>
  <c r="B22" i="4" s="1"/>
  <c r="B21" i="4" a="1"/>
  <c r="B21" i="4" s="1"/>
  <c r="B20" i="4" a="1"/>
  <c r="B20" i="4" s="1"/>
  <c r="B18" i="4" a="1"/>
  <c r="B18" i="4" s="1"/>
  <c r="AC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5" i="4" a="1"/>
  <c r="B15" i="4" s="1"/>
  <c r="AB13" i="4"/>
  <c r="B14" i="4" a="1"/>
  <c r="B14" i="4" s="1"/>
  <c r="AC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2" i="4" a="1"/>
  <c r="B12" i="4" s="1"/>
  <c r="AB11" i="4"/>
  <c r="B11" i="4" a="1"/>
  <c r="B11" i="4" s="1"/>
  <c r="AC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52" i="2" a="1"/>
  <c r="B52" i="2" s="1"/>
  <c r="B51" i="2" a="1"/>
  <c r="B51" i="2" s="1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8" i="2" a="1"/>
  <c r="B48" i="2" s="1"/>
  <c r="B47" i="2" a="1"/>
  <c r="B47" i="2" s="1"/>
  <c r="B46" i="2" a="1"/>
  <c r="B46" i="2" s="1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4" i="2" a="1"/>
  <c r="B44" i="2" s="1"/>
  <c r="B43" i="2" a="1"/>
  <c r="B43" i="2" s="1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1" i="2" a="1"/>
  <c r="B41" i="2" s="1"/>
  <c r="B40" i="2" a="1"/>
  <c r="B40" i="2" s="1"/>
  <c r="B39" i="2" a="1"/>
  <c r="B39" i="2" s="1"/>
  <c r="B38" i="2" a="1"/>
  <c r="B38" i="2" s="1"/>
  <c r="B37" i="2" a="1"/>
  <c r="B37" i="2" s="1"/>
  <c r="B36" i="2" a="1"/>
  <c r="B36" i="2" s="1"/>
  <c r="B35" i="2" a="1"/>
  <c r="B35" i="2" s="1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2" i="2" a="1"/>
  <c r="B32" i="2" s="1"/>
  <c r="B31" i="2" a="1"/>
  <c r="B31" i="2" s="1"/>
  <c r="B30" i="2" a="1"/>
  <c r="B30" i="2" s="1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8" i="2" a="1"/>
  <c r="B28" i="2" s="1"/>
  <c r="B27" i="2" a="1"/>
  <c r="B27" i="2" s="1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1" i="2" a="1"/>
  <c r="B21" i="2" s="1"/>
  <c r="B20" i="2" a="1"/>
  <c r="B20" i="2" s="1"/>
  <c r="B19" i="2" a="1"/>
  <c r="B19" i="2" s="1"/>
  <c r="B17" i="2" a="1"/>
  <c r="B17" i="2" s="1"/>
  <c r="AC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5" i="2" a="1"/>
  <c r="B15" i="2" s="1"/>
  <c r="AB14" i="2"/>
  <c r="AB13" i="2" s="1"/>
  <c r="AC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77" i="1" a="1"/>
  <c r="B77" i="1" s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0" i="1" a="1"/>
  <c r="B70" i="1" s="1"/>
  <c r="B69" i="1" a="1"/>
  <c r="B69" i="1" s="1"/>
  <c r="B68" i="1" a="1"/>
  <c r="B68" i="1" s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5" i="1" a="1"/>
  <c r="B65" i="1" s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3" i="1" a="1"/>
  <c r="B63" i="1" s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0" i="1" a="1"/>
  <c r="B60" i="1" s="1"/>
  <c r="B59" i="1" a="1"/>
  <c r="B59" i="1" s="1"/>
  <c r="B58" i="1" a="1"/>
  <c r="B58" i="1" s="1"/>
  <c r="B57" i="1" a="1"/>
  <c r="B57" i="1" s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3" i="1" a="1"/>
  <c r="B53" i="1" s="1"/>
  <c r="B52" i="1" a="1"/>
  <c r="B52" i="1" s="1"/>
  <c r="B51" i="1" a="1"/>
  <c r="B51" i="1" s="1"/>
  <c r="B50" i="1" a="1"/>
  <c r="B50" i="1" s="1"/>
  <c r="B49" i="1" a="1"/>
  <c r="B49" i="1" s="1"/>
  <c r="B48" i="1" a="1"/>
  <c r="B48" i="1" s="1"/>
  <c r="B47" i="1" a="1"/>
  <c r="B47" i="1" s="1"/>
  <c r="B46" i="1" a="1"/>
  <c r="B46" i="1" s="1"/>
  <c r="B44" i="1" a="1"/>
  <c r="B44" i="1" s="1"/>
  <c r="B43" i="1" a="1"/>
  <c r="B43" i="1" s="1"/>
  <c r="B42" i="1" a="1"/>
  <c r="B42" i="1" s="1"/>
  <c r="B41" i="1" a="1"/>
  <c r="B41" i="1" s="1"/>
  <c r="B40" i="1" a="1"/>
  <c r="B40" i="1" s="1"/>
  <c r="B39" i="1" a="1"/>
  <c r="B39" i="1" s="1"/>
  <c r="B38" i="1" a="1"/>
  <c r="B38" i="1" s="1"/>
  <c r="B37" i="1" a="1"/>
  <c r="B37" i="1" s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4" i="1" a="1"/>
  <c r="B34" i="1" s="1"/>
  <c r="B33" i="1" a="1"/>
  <c r="B33" i="1" s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C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AB25" i="1"/>
  <c r="B25" i="1" a="1"/>
  <c r="B25" i="1" s="1"/>
  <c r="B24" i="1" a="1"/>
  <c r="B24" i="1" s="1"/>
  <c r="B21" i="1" a="1"/>
  <c r="B21" i="1" s="1"/>
  <c r="AC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19" i="1" a="1"/>
  <c r="B19" i="1" s="1"/>
  <c r="AC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7" i="1" a="1"/>
  <c r="B17" i="1" s="1"/>
  <c r="B16" i="1" a="1"/>
  <c r="B16" i="1" s="1"/>
  <c r="AC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AB13" i="1"/>
  <c r="B13" i="1" a="1"/>
  <c r="B13" i="1" s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26" i="7" l="1"/>
  <c r="O29" i="7" s="1"/>
  <c r="W26" i="7"/>
  <c r="W29" i="7" s="1"/>
  <c r="U26" i="7"/>
  <c r="V26" i="7"/>
  <c r="V29" i="7" s="1"/>
  <c r="P26" i="7"/>
  <c r="P29" i="7" s="1"/>
  <c r="X26" i="7"/>
  <c r="X29" i="7" s="1"/>
  <c r="Q26" i="7"/>
  <c r="Q29" i="7" s="1"/>
  <c r="Y26" i="7"/>
  <c r="Y29" i="7" s="1"/>
  <c r="R26" i="7"/>
  <c r="R29" i="7" s="1"/>
  <c r="Z26" i="7"/>
  <c r="Z29" i="7" s="1"/>
  <c r="S26" i="7"/>
  <c r="S29" i="7" s="1"/>
  <c r="AA26" i="7"/>
  <c r="AA29" i="7" s="1"/>
  <c r="T26" i="7"/>
  <c r="T29" i="7" s="1"/>
  <c r="AB26" i="7"/>
  <c r="U29" i="7"/>
  <c r="T16" i="6"/>
  <c r="AC16" i="6"/>
  <c r="Q30" i="6"/>
  <c r="Y30" i="6"/>
  <c r="AA16" i="6"/>
  <c r="U16" i="6"/>
  <c r="R30" i="6"/>
  <c r="Z30" i="6"/>
  <c r="V16" i="6"/>
  <c r="AB16" i="6"/>
  <c r="S30" i="6"/>
  <c r="AA30" i="6"/>
  <c r="O16" i="6"/>
  <c r="W16" i="6"/>
  <c r="T30" i="6"/>
  <c r="AC30" i="6"/>
  <c r="P16" i="6"/>
  <c r="X16" i="6"/>
  <c r="U30" i="6"/>
  <c r="Q16" i="6"/>
  <c r="Y16" i="6"/>
  <c r="V30" i="6"/>
  <c r="S16" i="6"/>
  <c r="R16" i="6"/>
  <c r="Z16" i="6"/>
  <c r="O30" i="6"/>
  <c r="W30" i="6"/>
  <c r="R18" i="5"/>
  <c r="Z18" i="5"/>
  <c r="S18" i="5"/>
  <c r="AA18" i="5"/>
  <c r="T18" i="5"/>
  <c r="AC18" i="5"/>
  <c r="AD18" i="5"/>
  <c r="V18" i="5"/>
  <c r="O18" i="5"/>
  <c r="W18" i="5"/>
  <c r="P18" i="5"/>
  <c r="X18" i="5"/>
  <c r="Y61" i="4"/>
  <c r="R61" i="4"/>
  <c r="Z61" i="4"/>
  <c r="Q61" i="4"/>
  <c r="S61" i="4"/>
  <c r="AA61" i="4"/>
  <c r="T61" i="4"/>
  <c r="AB61" i="4"/>
  <c r="U61" i="4"/>
  <c r="AC61" i="4"/>
  <c r="V61" i="4"/>
  <c r="O61" i="4"/>
  <c r="W61" i="4"/>
  <c r="P61" i="4"/>
  <c r="X61" i="4"/>
  <c r="C16" i="6"/>
  <c r="K16" i="6"/>
  <c r="AC20" i="7"/>
  <c r="G16" i="6"/>
  <c r="E14" i="7"/>
  <c r="M14" i="7"/>
  <c r="C26" i="1"/>
  <c r="S26" i="1"/>
  <c r="H26" i="1"/>
  <c r="W26" i="1"/>
  <c r="C14" i="7"/>
  <c r="K14" i="7"/>
  <c r="F14" i="7"/>
  <c r="N14" i="7"/>
  <c r="AC23" i="7"/>
  <c r="F16" i="6"/>
  <c r="N16" i="6"/>
  <c r="G14" i="7"/>
  <c r="F26" i="7"/>
  <c r="N26" i="7"/>
  <c r="I26" i="7"/>
  <c r="U23" i="4"/>
  <c r="G18" i="5"/>
  <c r="H14" i="7"/>
  <c r="I14" i="7"/>
  <c r="D16" i="6"/>
  <c r="L16" i="6"/>
  <c r="J14" i="7"/>
  <c r="D26" i="7"/>
  <c r="L26" i="7"/>
  <c r="I22" i="2"/>
  <c r="G22" i="2"/>
  <c r="J22" i="2"/>
  <c r="H22" i="2"/>
  <c r="H18" i="5"/>
  <c r="AB10" i="5"/>
  <c r="E18" i="5"/>
  <c r="M18" i="5"/>
  <c r="D18" i="5"/>
  <c r="L18" i="5"/>
  <c r="E26" i="7"/>
  <c r="M26" i="7"/>
  <c r="G26" i="7"/>
  <c r="J26" i="7"/>
  <c r="H26" i="7"/>
  <c r="C26" i="7"/>
  <c r="K26" i="7"/>
  <c r="D14" i="7"/>
  <c r="L14" i="7"/>
  <c r="J16" i="6"/>
  <c r="E16" i="6"/>
  <c r="M16" i="6"/>
  <c r="I16" i="6"/>
  <c r="H16" i="6"/>
  <c r="H30" i="6"/>
  <c r="C30" i="6"/>
  <c r="K30" i="6"/>
  <c r="K35" i="6" s="1"/>
  <c r="R35" i="6"/>
  <c r="J30" i="6"/>
  <c r="D30" i="6"/>
  <c r="L30" i="6"/>
  <c r="L35" i="6" s="1"/>
  <c r="E30" i="6"/>
  <c r="M30" i="6"/>
  <c r="F30" i="6"/>
  <c r="N30" i="6"/>
  <c r="U35" i="6"/>
  <c r="I30" i="6"/>
  <c r="G30" i="6"/>
  <c r="M28" i="5"/>
  <c r="E28" i="5"/>
  <c r="F28" i="5"/>
  <c r="N28" i="5"/>
  <c r="G28" i="5"/>
  <c r="H28" i="5"/>
  <c r="J28" i="5"/>
  <c r="C28" i="5"/>
  <c r="K28" i="5"/>
  <c r="I28" i="5"/>
  <c r="D28" i="5"/>
  <c r="L28" i="5"/>
  <c r="AA33" i="5"/>
  <c r="I18" i="5"/>
  <c r="J18" i="5"/>
  <c r="AB13" i="5"/>
  <c r="AB18" i="5" s="1"/>
  <c r="C18" i="5"/>
  <c r="K18" i="5"/>
  <c r="F18" i="5"/>
  <c r="N18" i="5"/>
  <c r="I61" i="4"/>
  <c r="J61" i="4"/>
  <c r="E61" i="4"/>
  <c r="M61" i="4"/>
  <c r="H61" i="4"/>
  <c r="D23" i="4"/>
  <c r="S23" i="4"/>
  <c r="AC23" i="4"/>
  <c r="F23" i="4"/>
  <c r="N23" i="4"/>
  <c r="I23" i="4"/>
  <c r="P23" i="4"/>
  <c r="X23" i="4"/>
  <c r="L23" i="4"/>
  <c r="AA23" i="4"/>
  <c r="I54" i="2"/>
  <c r="F54" i="2"/>
  <c r="N54" i="2"/>
  <c r="J54" i="2"/>
  <c r="G54" i="2"/>
  <c r="H54" i="2"/>
  <c r="C54" i="2"/>
  <c r="K54" i="2"/>
  <c r="D54" i="2"/>
  <c r="L54" i="2"/>
  <c r="E54" i="2"/>
  <c r="M54" i="2"/>
  <c r="L22" i="2"/>
  <c r="D22" i="2"/>
  <c r="E22" i="2"/>
  <c r="M22" i="2"/>
  <c r="C22" i="2"/>
  <c r="K22" i="2"/>
  <c r="F22" i="2"/>
  <c r="N22" i="2"/>
  <c r="D26" i="1"/>
  <c r="F26" i="1"/>
  <c r="N26" i="1"/>
  <c r="U26" i="1"/>
  <c r="E26" i="1"/>
  <c r="M26" i="1"/>
  <c r="T26" i="1"/>
  <c r="Z26" i="1"/>
  <c r="I26" i="1"/>
  <c r="P26" i="1"/>
  <c r="X26" i="1"/>
  <c r="K26" i="1"/>
  <c r="R26" i="1"/>
  <c r="L26" i="1"/>
  <c r="AA26" i="1"/>
  <c r="J26" i="1"/>
  <c r="Q26" i="1"/>
  <c r="Y26" i="1"/>
  <c r="AC26" i="1"/>
  <c r="G26" i="1"/>
  <c r="O26" i="1"/>
  <c r="V26" i="1"/>
  <c r="AB20" i="1"/>
  <c r="T71" i="1"/>
  <c r="E71" i="1"/>
  <c r="M71" i="1"/>
  <c r="AB71" i="1"/>
  <c r="I71" i="1"/>
  <c r="P71" i="1"/>
  <c r="X71" i="1"/>
  <c r="D71" i="1"/>
  <c r="L71" i="1"/>
  <c r="J71" i="1"/>
  <c r="Q71" i="1"/>
  <c r="S71" i="1"/>
  <c r="Y71" i="1"/>
  <c r="AA71" i="1"/>
  <c r="C71" i="1"/>
  <c r="K71" i="1"/>
  <c r="R71" i="1"/>
  <c r="Z71" i="1"/>
  <c r="F71" i="1"/>
  <c r="N71" i="1"/>
  <c r="U71" i="1"/>
  <c r="G71" i="1"/>
  <c r="O71" i="1"/>
  <c r="V71" i="1"/>
  <c r="AC71" i="1"/>
  <c r="H71" i="1"/>
  <c r="W71" i="1"/>
  <c r="V23" i="4"/>
  <c r="M35" i="6"/>
  <c r="O23" i="4"/>
  <c r="AB18" i="1"/>
  <c r="J23" i="4"/>
  <c r="Q23" i="4"/>
  <c r="Y23" i="4"/>
  <c r="C61" i="4"/>
  <c r="K61" i="4"/>
  <c r="AB10" i="4"/>
  <c r="H23" i="4"/>
  <c r="W23" i="4"/>
  <c r="C23" i="4"/>
  <c r="K23" i="4"/>
  <c r="R23" i="4"/>
  <c r="Z23" i="4"/>
  <c r="AB17" i="4"/>
  <c r="D61" i="4"/>
  <c r="L61" i="4"/>
  <c r="AC9" i="7"/>
  <c r="AC14" i="7" s="1"/>
  <c r="G23" i="4"/>
  <c r="E23" i="4"/>
  <c r="M23" i="4"/>
  <c r="T23" i="4"/>
  <c r="F61" i="4"/>
  <c r="N61" i="4"/>
  <c r="G61" i="4"/>
  <c r="AB9" i="7"/>
  <c r="AB14" i="7" s="1"/>
  <c r="AB29" i="7" s="1"/>
  <c r="AC26" i="7" l="1"/>
  <c r="AC29" i="7"/>
  <c r="C35" i="6"/>
  <c r="N66" i="4"/>
  <c r="L29" i="7"/>
  <c r="F29" i="7"/>
  <c r="H29" i="7"/>
  <c r="M29" i="7"/>
  <c r="E33" i="5"/>
  <c r="Y33" i="5"/>
  <c r="Q33" i="5"/>
  <c r="V33" i="5"/>
  <c r="L33" i="5"/>
  <c r="AD33" i="5"/>
  <c r="T35" i="6"/>
  <c r="Z35" i="6"/>
  <c r="F35" i="6"/>
  <c r="J33" i="5"/>
  <c r="G33" i="5"/>
  <c r="Z33" i="5"/>
  <c r="H33" i="5"/>
  <c r="AC33" i="5"/>
  <c r="AA78" i="1"/>
  <c r="E29" i="7"/>
  <c r="K29" i="7"/>
  <c r="I29" i="7"/>
  <c r="C29" i="7"/>
  <c r="G29" i="7"/>
  <c r="J29" i="7"/>
  <c r="N29" i="7"/>
  <c r="D29" i="7"/>
  <c r="N35" i="6"/>
  <c r="G35" i="6"/>
  <c r="O35" i="6"/>
  <c r="AB35" i="6"/>
  <c r="V35" i="6"/>
  <c r="AC35" i="6"/>
  <c r="W35" i="6"/>
  <c r="Q35" i="6"/>
  <c r="J56" i="2"/>
  <c r="AB26" i="1"/>
  <c r="AB78" i="1" s="1"/>
  <c r="W78" i="1"/>
  <c r="H78" i="1"/>
  <c r="D78" i="1"/>
  <c r="G78" i="1"/>
  <c r="F78" i="1"/>
  <c r="Z78" i="1"/>
  <c r="X78" i="1"/>
  <c r="C78" i="1"/>
  <c r="U78" i="1"/>
  <c r="S78" i="1"/>
  <c r="J66" i="4"/>
  <c r="H66" i="4"/>
  <c r="W66" i="4"/>
  <c r="R66" i="4"/>
  <c r="Q66" i="4"/>
  <c r="AC66" i="4"/>
  <c r="T33" i="5"/>
  <c r="X33" i="5"/>
  <c r="D33" i="5"/>
  <c r="M78" i="1"/>
  <c r="I56" i="2"/>
  <c r="AA35" i="6"/>
  <c r="H35" i="6"/>
  <c r="Y78" i="1"/>
  <c r="AC78" i="1"/>
  <c r="R78" i="1"/>
  <c r="L78" i="1"/>
  <c r="T78" i="1"/>
  <c r="P78" i="1"/>
  <c r="S35" i="6"/>
  <c r="V78" i="1"/>
  <c r="K78" i="1"/>
  <c r="I78" i="1"/>
  <c r="N56" i="2"/>
  <c r="X66" i="4"/>
  <c r="U33" i="5"/>
  <c r="I33" i="5"/>
  <c r="D35" i="6"/>
  <c r="Y35" i="6"/>
  <c r="E35" i="6"/>
  <c r="U66" i="4"/>
  <c r="P66" i="4"/>
  <c r="W33" i="5"/>
  <c r="S33" i="5"/>
  <c r="H56" i="2"/>
  <c r="M56" i="2"/>
  <c r="L56" i="2"/>
  <c r="D56" i="2"/>
  <c r="G56" i="2"/>
  <c r="AB33" i="5"/>
  <c r="R33" i="5"/>
  <c r="C33" i="5"/>
  <c r="M33" i="5"/>
  <c r="P33" i="5"/>
  <c r="N33" i="5"/>
  <c r="X35" i="6"/>
  <c r="I35" i="6"/>
  <c r="J35" i="6"/>
  <c r="P35" i="6"/>
  <c r="F33" i="5"/>
  <c r="K33" i="5"/>
  <c r="T66" i="4"/>
  <c r="I66" i="4"/>
  <c r="Y66" i="4"/>
  <c r="M66" i="4"/>
  <c r="E66" i="4"/>
  <c r="Z66" i="4"/>
  <c r="K66" i="4"/>
  <c r="O66" i="4"/>
  <c r="L66" i="4"/>
  <c r="C66" i="4"/>
  <c r="F66" i="4"/>
  <c r="S66" i="4"/>
  <c r="D66" i="4"/>
  <c r="G66" i="4"/>
  <c r="AA66" i="4"/>
  <c r="V66" i="4"/>
  <c r="F56" i="2"/>
  <c r="K56" i="2"/>
  <c r="C56" i="2"/>
  <c r="E56" i="2"/>
  <c r="N78" i="1"/>
  <c r="J78" i="1"/>
  <c r="E78" i="1"/>
  <c r="Q78" i="1"/>
  <c r="AB23" i="4"/>
  <c r="AB66" i="4" s="1"/>
</calcChain>
</file>

<file path=xl/sharedStrings.xml><?xml version="1.0" encoding="utf-8"?>
<sst xmlns="http://schemas.openxmlformats.org/spreadsheetml/2006/main" count="260" uniqueCount="129">
  <si>
    <t>Inntekter</t>
  </si>
  <si>
    <t>hittil i fjor</t>
  </si>
  <si>
    <t>Lønnskostnader</t>
  </si>
  <si>
    <t>Sum Driftskostnader</t>
  </si>
  <si>
    <t>Hittil I år</t>
  </si>
  <si>
    <t>Tilskudd</t>
  </si>
  <si>
    <t>Leieinntekter</t>
  </si>
  <si>
    <t>Sum Driftsinntekter</t>
  </si>
  <si>
    <t>Andre Kostnader</t>
  </si>
  <si>
    <t>Forsikring m.m.</t>
  </si>
  <si>
    <t>Andre inntekter</t>
  </si>
  <si>
    <t>Hele året</t>
  </si>
  <si>
    <t>Salgsinntekter</t>
  </si>
  <si>
    <t>Budsjett</t>
  </si>
  <si>
    <t>Regnskap</t>
  </si>
  <si>
    <t>Sponsorkostnader</t>
  </si>
  <si>
    <t>Reklame/annonser</t>
  </si>
  <si>
    <t>Kontingenter/Gaver</t>
  </si>
  <si>
    <t>Varekostnader</t>
  </si>
  <si>
    <t>Kostnader</t>
  </si>
  <si>
    <t>Finansposter</t>
  </si>
  <si>
    <t>Reisekostnader</t>
  </si>
  <si>
    <t>Romsås Idrettslag</t>
  </si>
  <si>
    <t>3960 Grasrot</t>
  </si>
  <si>
    <t>3440 Hodestøtte og LAM</t>
  </si>
  <si>
    <t>3400 Vakthold i hallen</t>
  </si>
  <si>
    <t>3440 Hodestøtte OIK</t>
  </si>
  <si>
    <t>3440 LAM</t>
  </si>
  <si>
    <t>3930 treningsvgifter</t>
  </si>
  <si>
    <t>3960 Bingo</t>
  </si>
  <si>
    <t>3970 Momskompensasjon</t>
  </si>
  <si>
    <t>3990 Salg av drakter</t>
  </si>
  <si>
    <t>3400 Komp. treningsavgift</t>
  </si>
  <si>
    <t>3440 Viken og Oslo turnkrets</t>
  </si>
  <si>
    <t>TURNGRUPPA</t>
  </si>
  <si>
    <t>3110 Salgsinntekt kiosk</t>
  </si>
  <si>
    <t>3940 - Egenadel</t>
  </si>
  <si>
    <t>3940 - Egenandel</t>
  </si>
  <si>
    <t>3400 Fritidskort, treningsavgift</t>
  </si>
  <si>
    <t>6860 - Møtekostnader</t>
  </si>
  <si>
    <t>4300 - Varekostnader, varer for videresalg</t>
  </si>
  <si>
    <t xml:space="preserve">            Banekostnader</t>
  </si>
  <si>
    <t xml:space="preserve">             Gaver</t>
  </si>
  <si>
    <t xml:space="preserve">            Tufteparken</t>
  </si>
  <si>
    <t>6940 - Porto</t>
  </si>
  <si>
    <t xml:space="preserve">            Overføring til gruppene</t>
  </si>
  <si>
    <t xml:space="preserve">            Vakthold gruppene</t>
  </si>
  <si>
    <t>Noter Hovedkassa 2020</t>
  </si>
  <si>
    <t>Romsås Idrettslag Hovedkassa</t>
  </si>
  <si>
    <t>Regnskapet er ikke sammenlignbart med budsjett, inntekter og kostnader er ført direkte</t>
  </si>
  <si>
    <t xml:space="preserve"> - </t>
  </si>
  <si>
    <t>Styrehonorar</t>
  </si>
  <si>
    <t>Øvrig honorering</t>
  </si>
  <si>
    <t>Renhold årsmøte</t>
  </si>
  <si>
    <t>Smitteutstyr</t>
  </si>
  <si>
    <t>øvrig til vask</t>
  </si>
  <si>
    <t>Tripletex</t>
  </si>
  <si>
    <t>Hjemmeside</t>
  </si>
  <si>
    <t>Domene</t>
  </si>
  <si>
    <t>Div til styremøter, fellesmøter og dugnader</t>
  </si>
  <si>
    <t>Årsmøte</t>
  </si>
  <si>
    <t>Feilført =&gt; klubbhuset</t>
  </si>
  <si>
    <t>Korrigering div vedr. grupper</t>
  </si>
  <si>
    <t>OIK, inkluderingsmidler</t>
  </si>
  <si>
    <t>OIK, driftsstøtte</t>
  </si>
  <si>
    <t>LAM</t>
  </si>
  <si>
    <t>Sparebankstiftelsen</t>
  </si>
  <si>
    <t>Hodestøtte / aktivitetstilskudd</t>
  </si>
  <si>
    <t>Bomiljøtilskudd</t>
  </si>
  <si>
    <t>Div</t>
  </si>
  <si>
    <t>Foredragsholder, åpen dag</t>
  </si>
  <si>
    <t>Kostnader vedrørende regnskap i pilot</t>
  </si>
  <si>
    <t>på gruppene og ikke via hovedkassa. Det er også satt opp nye kontonummer</t>
  </si>
  <si>
    <t>Note 1, 3400 - Tilskudd</t>
  </si>
  <si>
    <t>Note 2, 3440 - Andre tilskudd</t>
  </si>
  <si>
    <t>Note 3, 5014, 5330, 5990 Honorering</t>
  </si>
  <si>
    <t>Note 4, 6360 Renhold</t>
  </si>
  <si>
    <t>Note 5, 6552 - Datautstyr (programvare)</t>
  </si>
  <si>
    <t>Note 7. 6720 - Økonomisk og juridisk bistand</t>
  </si>
  <si>
    <t xml:space="preserve">Div småinkjøp </t>
  </si>
  <si>
    <t>Beising utvendig</t>
  </si>
  <si>
    <t>Maling og snekring</t>
  </si>
  <si>
    <t>Nye låser</t>
  </si>
  <si>
    <t>Norsk Gjenvinning</t>
  </si>
  <si>
    <t>Strøm</t>
  </si>
  <si>
    <t>Strø, graving ut til modul</t>
  </si>
  <si>
    <t>Modul dler av kostn.</t>
  </si>
  <si>
    <t>Høytallere/spill/kabler</t>
  </si>
  <si>
    <t>Vann ut</t>
  </si>
  <si>
    <t>Hyllereoler/bokser</t>
  </si>
  <si>
    <t>NOTER</t>
  </si>
  <si>
    <t>Note 1, Tilskudd</t>
  </si>
  <si>
    <t>Note 2, Andre tillskudd</t>
  </si>
  <si>
    <t>Hele Året</t>
  </si>
  <si>
    <t xml:space="preserve">            Arrangement</t>
  </si>
  <si>
    <t xml:space="preserve">           Arrangement</t>
  </si>
  <si>
    <t>e</t>
  </si>
  <si>
    <t>Aktivitetsavgift andr bydeler</t>
  </si>
  <si>
    <t>Romsås Idrettslag Håndballgruppa</t>
  </si>
  <si>
    <t>7420 - Lotteri og gaver</t>
  </si>
  <si>
    <t>7420 - Overgangsgebyr</t>
  </si>
  <si>
    <t>Noter</t>
  </si>
  <si>
    <t xml:space="preserve">Note 1 </t>
  </si>
  <si>
    <t xml:space="preserve">Note 1. Budsjett </t>
  </si>
  <si>
    <t>AKS stipulert 2021</t>
  </si>
  <si>
    <t>Note 2, Budsjett</t>
  </si>
  <si>
    <t>Note 2</t>
  </si>
  <si>
    <t>Note 1</t>
  </si>
  <si>
    <t>Note 8, 6790 - Annen fremmed tjenester</t>
  </si>
  <si>
    <t>Note 9, 7162 - Bevertning/mat</t>
  </si>
  <si>
    <t>Note 10, 7420 Gaver og premier</t>
  </si>
  <si>
    <t>Note 11, 7790 Div kostnader</t>
  </si>
  <si>
    <t>Vakthold fordeles direkte på gruppene og ikke via hallen's regnskap</t>
  </si>
  <si>
    <t>Note 6, 6600 - Bygning (kl. hus og modul)</t>
  </si>
  <si>
    <t>Noter Turn 2020</t>
  </si>
  <si>
    <t>Romsås Idrettslag fotballgruppa</t>
  </si>
  <si>
    <t>Romsås Idrettslag Aerobicgruppa</t>
  </si>
  <si>
    <t>Romsås Idrettslag Hallen</t>
  </si>
  <si>
    <t>Romsås Idrettslag Orientering</t>
  </si>
  <si>
    <t>Klubbhuset, vask og innkjøp</t>
  </si>
  <si>
    <t>Resultat (underskudd)</t>
  </si>
  <si>
    <t>Resultat (overskudd)</t>
  </si>
  <si>
    <t>Inntekter uten avdeling</t>
  </si>
  <si>
    <t>Kostnader uten avdeling</t>
  </si>
  <si>
    <t>Uten avdeling</t>
  </si>
  <si>
    <t>Treningsklær til utøvere</t>
  </si>
  <si>
    <t>Drakter</t>
  </si>
  <si>
    <t>Depositum treningklær utøvere</t>
  </si>
  <si>
    <t>NHF reg øst, 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</si>
</sst>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20"/>
      <color theme="0" tint="-0.49995422223578601"/>
      <name val="Calibri"/>
      <family val="2"/>
      <scheme val="minor"/>
    </font>
    <font>
      <b/>
      <i/>
      <sz val="16"/>
      <color theme="0" tint="-0.4999542222357860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542222357860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22">
    <xf numFmtId="0" fontId="0" fillId="0" borderId="0" xfId="0"/>
    <xf numFmtId="3" fontId="0" fillId="2" borderId="1" xfId="1" applyNumberFormat="1" applyFont="1" applyFill="1" applyBorder="1"/>
    <xf numFmtId="3" fontId="0" fillId="3" borderId="1" xfId="0" applyNumberFormat="1" applyFill="1" applyBorder="1"/>
    <xf numFmtId="3" fontId="0" fillId="0" borderId="1" xfId="0" applyNumberFormat="1" applyBorder="1"/>
    <xf numFmtId="0" fontId="0" fillId="0" borderId="1" xfId="0" applyBorder="1"/>
    <xf numFmtId="3" fontId="1" fillId="4" borderId="2" xfId="1" applyNumberFormat="1" applyFont="1" applyFill="1" applyBorder="1"/>
    <xf numFmtId="3" fontId="2" fillId="4" borderId="3" xfId="1" applyNumberFormat="1" applyFont="1" applyFill="1" applyBorder="1"/>
    <xf numFmtId="3" fontId="3" fillId="4" borderId="3" xfId="1" applyNumberFormat="1" applyFont="1" applyFill="1" applyBorder="1"/>
    <xf numFmtId="3" fontId="4" fillId="4" borderId="4" xfId="0" applyNumberFormat="1" applyFont="1" applyFill="1" applyBorder="1"/>
    <xf numFmtId="0" fontId="5" fillId="5" borderId="1" xfId="0" applyFont="1" applyFill="1" applyBorder="1" applyAlignment="1">
      <alignment horizontal="center"/>
    </xf>
    <xf numFmtId="164" fontId="4" fillId="4" borderId="4" xfId="0" applyNumberFormat="1" applyFont="1" applyFill="1" applyBorder="1"/>
    <xf numFmtId="0" fontId="4" fillId="4" borderId="4" xfId="0" applyFont="1" applyFill="1" applyBorder="1"/>
    <xf numFmtId="0" fontId="0" fillId="4" borderId="1" xfId="0" applyFill="1" applyBorder="1" applyAlignment="1">
      <alignment wrapText="1"/>
    </xf>
    <xf numFmtId="0" fontId="5" fillId="5" borderId="1" xfId="0" applyFont="1" applyFill="1" applyBorder="1"/>
    <xf numFmtId="0" fontId="0" fillId="4" borderId="1" xfId="0" applyFill="1" applyBorder="1" applyAlignment="1">
      <alignment horizontal="center" wrapText="1"/>
    </xf>
    <xf numFmtId="3" fontId="0" fillId="2" borderId="0" xfId="1" applyNumberFormat="1" applyFont="1" applyFill="1" applyBorder="1"/>
    <xf numFmtId="0" fontId="0" fillId="2" borderId="1" xfId="0" applyFill="1" applyBorder="1"/>
    <xf numFmtId="3" fontId="0" fillId="3" borderId="0" xfId="0" applyNumberFormat="1" applyFill="1"/>
    <xf numFmtId="3" fontId="0" fillId="3" borderId="5" xfId="0" applyNumberFormat="1" applyFill="1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 wrapText="1"/>
    </xf>
    <xf numFmtId="0" fontId="6" fillId="4" borderId="4" xfId="0" applyFont="1" applyFill="1" applyBorder="1"/>
    <xf numFmtId="3" fontId="0" fillId="0" borderId="5" xfId="0" applyNumberFormat="1" applyBorder="1"/>
    <xf numFmtId="3" fontId="0" fillId="0" borderId="0" xfId="0" applyNumberFormat="1"/>
    <xf numFmtId="0" fontId="7" fillId="0" borderId="0" xfId="0" applyFont="1" applyAlignment="1">
      <alignment horizontal="left"/>
    </xf>
    <xf numFmtId="0" fontId="2" fillId="4" borderId="3" xfId="0" applyFont="1" applyFill="1" applyBorder="1"/>
    <xf numFmtId="0" fontId="4" fillId="4" borderId="6" xfId="0" applyFont="1" applyFill="1" applyBorder="1"/>
    <xf numFmtId="3" fontId="4" fillId="4" borderId="6" xfId="0" applyNumberFormat="1" applyFont="1" applyFill="1" applyBorder="1"/>
    <xf numFmtId="0" fontId="3" fillId="4" borderId="3" xfId="0" applyFont="1" applyFill="1" applyBorder="1"/>
    <xf numFmtId="0" fontId="5" fillId="5" borderId="7" xfId="0" applyFont="1" applyFill="1" applyBorder="1"/>
    <xf numFmtId="0" fontId="5" fillId="5" borderId="0" xfId="0" applyFont="1" applyFill="1" applyAlignment="1">
      <alignment horizontal="center"/>
    </xf>
    <xf numFmtId="0" fontId="1" fillId="4" borderId="2" xfId="0" applyFont="1" applyFill="1" applyBorder="1"/>
    <xf numFmtId="0" fontId="1" fillId="4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1" fillId="0" borderId="0" xfId="0" applyFont="1"/>
    <xf numFmtId="165" fontId="0" fillId="0" borderId="0" xfId="1" applyNumberFormat="1" applyFont="1"/>
    <xf numFmtId="165" fontId="0" fillId="0" borderId="6" xfId="1" applyNumberFormat="1" applyFont="1" applyBorder="1"/>
    <xf numFmtId="165" fontId="11" fillId="0" borderId="6" xfId="1" applyNumberFormat="1" applyFont="1" applyBorder="1"/>
    <xf numFmtId="0" fontId="12" fillId="0" borderId="0" xfId="0" applyFont="1"/>
    <xf numFmtId="3" fontId="0" fillId="3" borderId="1" xfId="1" applyNumberFormat="1" applyFont="1" applyFill="1" applyBorder="1"/>
    <xf numFmtId="0" fontId="0" fillId="3" borderId="0" xfId="0" applyFill="1"/>
    <xf numFmtId="0" fontId="11" fillId="0" borderId="0" xfId="0" applyFont="1" applyFill="1"/>
    <xf numFmtId="0" fontId="0" fillId="0" borderId="0" xfId="0" applyFill="1"/>
    <xf numFmtId="3" fontId="4" fillId="2" borderId="1" xfId="1" applyNumberFormat="1" applyFont="1" applyFill="1" applyBorder="1"/>
    <xf numFmtId="3" fontId="4" fillId="3" borderId="1" xfId="1" applyNumberFormat="1" applyFont="1" applyFill="1" applyBorder="1"/>
    <xf numFmtId="3" fontId="4" fillId="3" borderId="5" xfId="0" applyNumberFormat="1" applyFont="1" applyFill="1" applyBorder="1"/>
    <xf numFmtId="3" fontId="14" fillId="4" borderId="3" xfId="1" applyNumberFormat="1" applyFont="1" applyFill="1" applyBorder="1"/>
    <xf numFmtId="0" fontId="4" fillId="0" borderId="0" xfId="0" applyFont="1"/>
    <xf numFmtId="0" fontId="4" fillId="0" borderId="1" xfId="0" applyFont="1" applyBorder="1"/>
    <xf numFmtId="3" fontId="15" fillId="4" borderId="3" xfId="1" applyNumberFormat="1" applyFont="1" applyFill="1" applyBorder="1"/>
    <xf numFmtId="3" fontId="4" fillId="0" borderId="5" xfId="0" applyNumberFormat="1" applyFont="1" applyBorder="1"/>
    <xf numFmtId="3" fontId="10" fillId="4" borderId="2" xfId="1" applyNumberFormat="1" applyFont="1" applyFill="1" applyBorder="1"/>
    <xf numFmtId="3" fontId="4" fillId="3" borderId="1" xfId="0" applyNumberFormat="1" applyFont="1" applyFill="1" applyBorder="1"/>
    <xf numFmtId="3" fontId="4" fillId="0" borderId="1" xfId="0" applyNumberFormat="1" applyFont="1" applyBorder="1"/>
    <xf numFmtId="0" fontId="5" fillId="5" borderId="8" xfId="0" applyFont="1" applyFill="1" applyBorder="1"/>
    <xf numFmtId="0" fontId="5" fillId="5" borderId="9" xfId="0" applyFont="1" applyFill="1" applyBorder="1"/>
    <xf numFmtId="0" fontId="5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1" xfId="0" applyFill="1" applyBorder="1" applyAlignment="1">
      <alignment wrapText="1"/>
    </xf>
    <xf numFmtId="0" fontId="1" fillId="4" borderId="12" xfId="0" applyFont="1" applyFill="1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6" fillId="4" borderId="13" xfId="0" applyFont="1" applyFill="1" applyBorder="1"/>
    <xf numFmtId="0" fontId="4" fillId="4" borderId="14" xfId="0" applyFont="1" applyFill="1" applyBorder="1"/>
    <xf numFmtId="0" fontId="0" fillId="2" borderId="11" xfId="0" applyFill="1" applyBorder="1"/>
    <xf numFmtId="3" fontId="0" fillId="2" borderId="12" xfId="1" applyNumberFormat="1" applyFont="1" applyFill="1" applyBorder="1"/>
    <xf numFmtId="0" fontId="0" fillId="3" borderId="11" xfId="0" applyFill="1" applyBorder="1"/>
    <xf numFmtId="3" fontId="0" fillId="3" borderId="12" xfId="0" applyNumberFormat="1" applyFill="1" applyBorder="1"/>
    <xf numFmtId="0" fontId="3" fillId="4" borderId="15" xfId="0" applyFont="1" applyFill="1" applyBorder="1"/>
    <xf numFmtId="3" fontId="0" fillId="0" borderId="12" xfId="0" applyNumberFormat="1" applyBorder="1"/>
    <xf numFmtId="3" fontId="4" fillId="4" borderId="14" xfId="0" applyNumberFormat="1" applyFont="1" applyFill="1" applyBorder="1"/>
    <xf numFmtId="3" fontId="0" fillId="3" borderId="12" xfId="1" applyNumberFormat="1" applyFont="1" applyFill="1" applyBorder="1"/>
    <xf numFmtId="0" fontId="2" fillId="4" borderId="15" xfId="0" applyFont="1" applyFill="1" applyBorder="1"/>
    <xf numFmtId="0" fontId="1" fillId="4" borderId="16" xfId="0" applyFont="1" applyFill="1" applyBorder="1"/>
    <xf numFmtId="3" fontId="1" fillId="4" borderId="17" xfId="1" applyNumberFormat="1" applyFont="1" applyFill="1" applyBorder="1"/>
    <xf numFmtId="0" fontId="0" fillId="0" borderId="6" xfId="0" applyBorder="1"/>
    <xf numFmtId="0" fontId="0" fillId="0" borderId="0" xfId="0" applyBorder="1"/>
    <xf numFmtId="165" fontId="11" fillId="0" borderId="0" xfId="1" applyNumberFormat="1" applyFont="1" applyBorder="1"/>
    <xf numFmtId="165" fontId="11" fillId="0" borderId="0" xfId="1" applyNumberFormat="1" applyFont="1"/>
    <xf numFmtId="0" fontId="0" fillId="0" borderId="0" xfId="0" applyFont="1"/>
    <xf numFmtId="0" fontId="16" fillId="0" borderId="0" xfId="0" applyFont="1"/>
    <xf numFmtId="0" fontId="11" fillId="0" borderId="0" xfId="0" applyFont="1" applyFill="1" applyBorder="1"/>
    <xf numFmtId="165" fontId="0" fillId="0" borderId="0" xfId="0" applyNumberFormat="1"/>
    <xf numFmtId="0" fontId="11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4" borderId="1" xfId="0" applyFill="1" applyBorder="1"/>
    <xf numFmtId="0" fontId="11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/>
    <xf numFmtId="0" fontId="21" fillId="0" borderId="0" xfId="0" applyFont="1" applyAlignment="1">
      <alignment horizontal="center"/>
    </xf>
    <xf numFmtId="3" fontId="0" fillId="2" borderId="5" xfId="1" applyNumberFormat="1" applyFont="1" applyFill="1" applyBorder="1"/>
    <xf numFmtId="0" fontId="0" fillId="0" borderId="0" xfId="0" applyFill="1" applyBorder="1"/>
    <xf numFmtId="0" fontId="0" fillId="3" borderId="0" xfId="0" applyFill="1" applyBorder="1"/>
    <xf numFmtId="0" fontId="0" fillId="3" borderId="5" xfId="0" applyFill="1" applyBorder="1"/>
    <xf numFmtId="3" fontId="0" fillId="3" borderId="5" xfId="1" applyNumberFormat="1" applyFont="1" applyFill="1" applyBorder="1"/>
    <xf numFmtId="3" fontId="0" fillId="2" borderId="1" xfId="2" applyNumberFormat="1" applyFont="1" applyFill="1" applyBorder="1"/>
    <xf numFmtId="3" fontId="0" fillId="2" borderId="0" xfId="2" applyNumberFormat="1" applyFont="1" applyFill="1" applyBorder="1"/>
    <xf numFmtId="3" fontId="3" fillId="4" borderId="3" xfId="2" applyNumberFormat="1" applyFont="1" applyFill="1" applyBorder="1"/>
    <xf numFmtId="3" fontId="0" fillId="3" borderId="1" xfId="2" applyNumberFormat="1" applyFont="1" applyFill="1" applyBorder="1"/>
    <xf numFmtId="3" fontId="0" fillId="3" borderId="0" xfId="2" applyNumberFormat="1" applyFont="1" applyFill="1" applyBorder="1"/>
    <xf numFmtId="3" fontId="2" fillId="4" borderId="3" xfId="2" applyNumberFormat="1" applyFont="1" applyFill="1" applyBorder="1"/>
    <xf numFmtId="3" fontId="1" fillId="4" borderId="2" xfId="2" applyNumberFormat="1" applyFont="1" applyFill="1" applyBorder="1"/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6" xfId="0" applyNumberFormat="1" applyBorder="1"/>
    <xf numFmtId="3" fontId="11" fillId="0" borderId="0" xfId="0" applyNumberFormat="1" applyFont="1"/>
    <xf numFmtId="0" fontId="22" fillId="0" borderId="0" xfId="0" applyFont="1"/>
    <xf numFmtId="0" fontId="23" fillId="5" borderId="0" xfId="0" applyFont="1" applyFill="1" applyAlignment="1">
      <alignment horizontal="center"/>
    </xf>
    <xf numFmtId="0" fontId="24" fillId="4" borderId="1" xfId="0" applyFont="1" applyFill="1" applyBorder="1" applyAlignment="1">
      <alignment horizontal="center" wrapText="1"/>
    </xf>
    <xf numFmtId="0" fontId="25" fillId="4" borderId="4" xfId="0" applyFont="1" applyFill="1" applyBorder="1"/>
    <xf numFmtId="0" fontId="17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3" borderId="1" xfId="0" applyFont="1" applyFill="1" applyBorder="1"/>
    <xf numFmtId="0" fontId="2" fillId="4" borderId="1" xfId="0" applyFont="1" applyFill="1" applyBorder="1"/>
    <xf numFmtId="3" fontId="2" fillId="4" borderId="1" xfId="1" applyNumberFormat="1" applyFont="1" applyFill="1" applyBorder="1"/>
    <xf numFmtId="0" fontId="0" fillId="0" borderId="3" xfId="0" applyBorder="1"/>
    <xf numFmtId="0" fontId="4" fillId="0" borderId="3" xfId="0" applyFont="1" applyBorder="1"/>
    <xf numFmtId="0" fontId="22" fillId="0" borderId="0" xfId="0" applyFont="1" applyFill="1"/>
  </cellXfs>
  <cellStyles count="3">
    <cellStyle name="Komma" xfId="1" builtinId="3"/>
    <cellStyle name="Komma 2" xfId="2" xr:uid="{F38FB21D-21D0-4F32-894A-8450EBF5008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9"/>
  <sheetViews>
    <sheetView tabSelected="1" workbookViewId="0"/>
  </sheetViews>
  <sheetFormatPr baseColWidth="10" defaultColWidth="9.109375" defaultRowHeight="14.4" outlineLevelRow="1" outlineLevelCol="1" x14ac:dyDescent="0.3"/>
  <cols>
    <col min="1" max="1" width="6.109375" style="85" customWidth="1"/>
    <col min="2" max="2" width="39.21875" customWidth="1"/>
    <col min="3" max="14" width="10.109375" hidden="1" customWidth="1" outlineLevel="1"/>
    <col min="15" max="15" width="10.33203125" customWidth="1" collapsed="1"/>
    <col min="16" max="27" width="11" hidden="1" customWidth="1" outlineLevel="1"/>
    <col min="28" max="28" width="10.33203125" style="49" customWidth="1" collapsed="1"/>
    <col min="29" max="29" width="10.33203125" customWidth="1"/>
    <col min="30" max="30" width="11" customWidth="1"/>
    <col min="31" max="31" width="4.21875" style="36" customWidth="1"/>
    <col min="32" max="32" width="23.77734375" customWidth="1"/>
    <col min="33" max="33" width="11" style="37" bestFit="1" customWidth="1"/>
    <col min="34" max="34" width="8.33203125" customWidth="1"/>
    <col min="35" max="35" width="27" customWidth="1"/>
    <col min="36" max="36" width="8.77734375" style="37" bestFit="1" customWidth="1"/>
    <col min="37" max="37" width="11.88671875" customWidth="1"/>
    <col min="38" max="38" width="16.77734375" customWidth="1"/>
  </cols>
  <sheetData>
    <row r="1" spans="1:37" ht="25.8" x14ac:dyDescent="0.5">
      <c r="B1" s="24" t="s">
        <v>48</v>
      </c>
      <c r="AF1" s="82" t="s">
        <v>47</v>
      </c>
      <c r="AK1" t="s">
        <v>50</v>
      </c>
    </row>
    <row r="2" spans="1:37" ht="18.600000000000001" customHeight="1" x14ac:dyDescent="0.4">
      <c r="B2" s="33"/>
      <c r="AB2" s="87"/>
      <c r="AF2" s="36" t="s">
        <v>49</v>
      </c>
    </row>
    <row r="3" spans="1:37" x14ac:dyDescent="0.3">
      <c r="AB3" s="87"/>
      <c r="AF3" s="36" t="s">
        <v>72</v>
      </c>
    </row>
    <row r="5" spans="1:37" x14ac:dyDescent="0.3">
      <c r="AF5" s="36" t="s">
        <v>73</v>
      </c>
      <c r="AI5" s="36" t="s">
        <v>74</v>
      </c>
    </row>
    <row r="6" spans="1:37" ht="15.6" x14ac:dyDescent="0.3">
      <c r="A6" s="115" t="s">
        <v>101</v>
      </c>
      <c r="B6" s="2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14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 t="s">
        <v>13</v>
      </c>
      <c r="AC6" s="9" t="s">
        <v>14</v>
      </c>
      <c r="AD6" s="9" t="s">
        <v>13</v>
      </c>
      <c r="AF6" t="s">
        <v>68</v>
      </c>
      <c r="AG6" s="37">
        <v>174000</v>
      </c>
      <c r="AI6" t="s">
        <v>66</v>
      </c>
      <c r="AJ6" s="37">
        <v>90000</v>
      </c>
    </row>
    <row r="7" spans="1:37" ht="15.6" x14ac:dyDescent="0.3">
      <c r="A7" s="11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20" t="s">
        <v>11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34" t="s">
        <v>11</v>
      </c>
      <c r="AC7" s="20" t="s">
        <v>11</v>
      </c>
      <c r="AD7" s="20" t="s">
        <v>11</v>
      </c>
      <c r="AF7" t="s">
        <v>63</v>
      </c>
      <c r="AG7" s="37">
        <v>10000</v>
      </c>
      <c r="AI7" t="s">
        <v>67</v>
      </c>
      <c r="AJ7" s="38">
        <v>38750</v>
      </c>
    </row>
    <row r="8" spans="1:37" x14ac:dyDescent="0.3">
      <c r="A8" s="115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9">
        <v>2020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90">
        <v>2020</v>
      </c>
      <c r="AC8" s="89">
        <v>2019</v>
      </c>
      <c r="AD8" s="89">
        <v>2021</v>
      </c>
      <c r="AF8" t="s">
        <v>64</v>
      </c>
      <c r="AG8" s="37">
        <v>29000</v>
      </c>
      <c r="AJ8" s="80">
        <f>SUM(AJ6:AJ7)</f>
        <v>128750</v>
      </c>
    </row>
    <row r="9" spans="1:37" x14ac:dyDescent="0.3">
      <c r="A9" s="11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0"/>
      <c r="AC9" s="4"/>
      <c r="AD9" s="4"/>
      <c r="AF9" t="s">
        <v>65</v>
      </c>
      <c r="AG9" s="37">
        <v>30255</v>
      </c>
    </row>
    <row r="10" spans="1:37" x14ac:dyDescent="0.3">
      <c r="A10" s="11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0"/>
      <c r="AC10" s="4"/>
      <c r="AD10" s="4"/>
      <c r="AF10" t="s">
        <v>69</v>
      </c>
      <c r="AG10" s="38">
        <v>5250</v>
      </c>
    </row>
    <row r="11" spans="1:37" ht="21" x14ac:dyDescent="0.4">
      <c r="A11" s="114"/>
      <c r="B11" s="21" t="s">
        <v>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G11" s="80">
        <f>SUM(AG6:AG10)</f>
        <v>248505</v>
      </c>
    </row>
    <row r="12" spans="1:37" x14ac:dyDescent="0.3">
      <c r="A12" s="115"/>
      <c r="B12" s="16" t="s">
        <v>12</v>
      </c>
      <c r="C12" s="1">
        <f t="shared" ref="C12:AC12" si="0">SUM(C13)</f>
        <v>0</v>
      </c>
      <c r="D12" s="1">
        <f t="shared" si="0"/>
        <v>0</v>
      </c>
      <c r="E12" s="1">
        <f t="shared" si="0"/>
        <v>0</v>
      </c>
      <c r="F12" s="1">
        <f t="shared" si="0"/>
        <v>0</v>
      </c>
      <c r="G12" s="1">
        <f t="shared" si="0"/>
        <v>0</v>
      </c>
      <c r="H12" s="1">
        <f t="shared" si="0"/>
        <v>-580</v>
      </c>
      <c r="I12" s="1">
        <f t="shared" si="0"/>
        <v>0</v>
      </c>
      <c r="J12" s="1">
        <f t="shared" si="0"/>
        <v>0</v>
      </c>
      <c r="K12" s="1">
        <f t="shared" si="0"/>
        <v>0</v>
      </c>
      <c r="L12" s="1">
        <f t="shared" si="0"/>
        <v>0</v>
      </c>
      <c r="M12" s="1">
        <f t="shared" si="0"/>
        <v>0</v>
      </c>
      <c r="N12" s="1">
        <f t="shared" si="0"/>
        <v>0</v>
      </c>
      <c r="O12" s="1">
        <f t="shared" si="0"/>
        <v>-580</v>
      </c>
      <c r="P12" s="1">
        <f t="shared" si="0"/>
        <v>0</v>
      </c>
      <c r="Q12" s="1">
        <f t="shared" si="0"/>
        <v>0</v>
      </c>
      <c r="R12" s="1">
        <f t="shared" si="0"/>
        <v>0</v>
      </c>
      <c r="S12" s="1">
        <f t="shared" si="0"/>
        <v>0</v>
      </c>
      <c r="T12" s="1">
        <f t="shared" si="0"/>
        <v>0</v>
      </c>
      <c r="U12" s="1">
        <f t="shared" si="0"/>
        <v>0</v>
      </c>
      <c r="V12" s="1">
        <f t="shared" si="0"/>
        <v>0</v>
      </c>
      <c r="W12" s="1">
        <f t="shared" si="0"/>
        <v>0</v>
      </c>
      <c r="X12" s="1">
        <f t="shared" si="0"/>
        <v>0</v>
      </c>
      <c r="Y12" s="1">
        <f t="shared" si="0"/>
        <v>0</v>
      </c>
      <c r="Z12" s="1">
        <f t="shared" si="0"/>
        <v>0</v>
      </c>
      <c r="AA12" s="1">
        <f t="shared" si="0"/>
        <v>0</v>
      </c>
      <c r="AB12" s="45">
        <f>AB14</f>
        <v>-3000</v>
      </c>
      <c r="AC12" s="1">
        <f t="shared" si="0"/>
        <v>0</v>
      </c>
      <c r="AD12" s="1">
        <f>AD14</f>
        <v>-5000</v>
      </c>
    </row>
    <row r="13" spans="1:37" x14ac:dyDescent="0.3">
      <c r="A13" s="115"/>
      <c r="B13" s="19" t="str">
        <f t="array" ref="B13">3110&amp;" - "&amp;"Salgsinntekter, avgiftsfri"</f>
        <v>3110 - Salgsinntekter, avgiftsfri</v>
      </c>
      <c r="C13" s="2"/>
      <c r="D13" s="2"/>
      <c r="E13" s="2"/>
      <c r="F13" s="2"/>
      <c r="G13" s="2"/>
      <c r="H13" s="2">
        <v>-580</v>
      </c>
      <c r="I13" s="2"/>
      <c r="J13" s="2"/>
      <c r="K13" s="2"/>
      <c r="L13" s="2"/>
      <c r="M13" s="2"/>
      <c r="N13" s="2"/>
      <c r="O13" s="2">
        <v>-580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54">
        <f>SUM(P13)</f>
        <v>0</v>
      </c>
      <c r="AC13" s="47"/>
      <c r="AD13" s="18"/>
      <c r="AF13" s="36" t="s">
        <v>75</v>
      </c>
      <c r="AI13" s="36" t="s">
        <v>76</v>
      </c>
    </row>
    <row r="14" spans="1:37" x14ac:dyDescent="0.3">
      <c r="A14" s="115"/>
      <c r="B14" s="19" t="s">
        <v>94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54">
        <v>-3000</v>
      </c>
      <c r="AC14" s="47"/>
      <c r="AD14" s="18">
        <v>-5000</v>
      </c>
      <c r="AF14" t="s">
        <v>51</v>
      </c>
      <c r="AG14" s="37">
        <v>23000</v>
      </c>
      <c r="AI14" t="s">
        <v>53</v>
      </c>
      <c r="AJ14" s="37">
        <v>7500</v>
      </c>
    </row>
    <row r="15" spans="1:37" x14ac:dyDescent="0.3">
      <c r="A15" s="115"/>
      <c r="B15" s="16" t="s">
        <v>5</v>
      </c>
      <c r="C15" s="1">
        <f t="shared" ref="C15:AC15" si="1">SUM(C16:C17)</f>
        <v>0</v>
      </c>
      <c r="D15" s="1">
        <f t="shared" si="1"/>
        <v>0</v>
      </c>
      <c r="E15" s="1">
        <f t="shared" si="1"/>
        <v>0</v>
      </c>
      <c r="F15" s="1">
        <f t="shared" si="1"/>
        <v>0</v>
      </c>
      <c r="G15" s="1">
        <f t="shared" si="1"/>
        <v>-38750</v>
      </c>
      <c r="H15" s="1">
        <f t="shared" si="1"/>
        <v>0</v>
      </c>
      <c r="I15" s="1">
        <f t="shared" si="1"/>
        <v>0</v>
      </c>
      <c r="J15" s="1">
        <f t="shared" si="1"/>
        <v>-90000</v>
      </c>
      <c r="K15" s="1">
        <f t="shared" si="1"/>
        <v>0</v>
      </c>
      <c r="L15" s="1">
        <f t="shared" si="1"/>
        <v>0</v>
      </c>
      <c r="M15" s="1">
        <f t="shared" si="1"/>
        <v>-107225</v>
      </c>
      <c r="N15" s="1">
        <f t="shared" si="1"/>
        <v>-141280</v>
      </c>
      <c r="O15" s="1">
        <f t="shared" si="1"/>
        <v>-377255</v>
      </c>
      <c r="P15" s="1">
        <f t="shared" si="1"/>
        <v>0</v>
      </c>
      <c r="Q15" s="1">
        <f t="shared" si="1"/>
        <v>0</v>
      </c>
      <c r="R15" s="1">
        <f t="shared" si="1"/>
        <v>0</v>
      </c>
      <c r="S15" s="1">
        <f t="shared" si="1"/>
        <v>0</v>
      </c>
      <c r="T15" s="1">
        <f t="shared" si="1"/>
        <v>0</v>
      </c>
      <c r="U15" s="1">
        <f t="shared" si="1"/>
        <v>0</v>
      </c>
      <c r="V15" s="1">
        <f t="shared" si="1"/>
        <v>0</v>
      </c>
      <c r="W15" s="1">
        <f t="shared" si="1"/>
        <v>0</v>
      </c>
      <c r="X15" s="1">
        <f t="shared" si="1"/>
        <v>0</v>
      </c>
      <c r="Y15" s="1">
        <f t="shared" si="1"/>
        <v>0</v>
      </c>
      <c r="Z15" s="1">
        <f t="shared" si="1"/>
        <v>0</v>
      </c>
      <c r="AA15" s="1">
        <f t="shared" si="1"/>
        <v>0</v>
      </c>
      <c r="AB15" s="45">
        <f t="shared" si="1"/>
        <v>-257000</v>
      </c>
      <c r="AC15" s="45">
        <f t="shared" si="1"/>
        <v>-734542</v>
      </c>
      <c r="AD15" s="1">
        <f t="shared" ref="AD15" si="2">SUM(AD16:AD17)</f>
        <v>-96000</v>
      </c>
      <c r="AF15" t="s">
        <v>52</v>
      </c>
      <c r="AG15" s="37">
        <v>23200</v>
      </c>
      <c r="AI15" t="s">
        <v>54</v>
      </c>
      <c r="AJ15" s="37">
        <f>1465+2600</f>
        <v>4065</v>
      </c>
    </row>
    <row r="16" spans="1:37" outlineLevel="1" x14ac:dyDescent="0.3">
      <c r="A16" s="115">
        <v>1</v>
      </c>
      <c r="B16" s="19" t="str">
        <f t="array" ref="B16">3400&amp;" - "&amp;"Tilskudd"</f>
        <v>3400 - Tilskudd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-107225</v>
      </c>
      <c r="N16" s="2">
        <v>-141280</v>
      </c>
      <c r="O16" s="2">
        <v>-248505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54">
        <f>-7000</f>
        <v>-7000</v>
      </c>
      <c r="AC16" s="47">
        <f>-14000-452000</f>
        <v>-466000</v>
      </c>
      <c r="AD16" s="18">
        <f>-19500-20000</f>
        <v>-39500</v>
      </c>
      <c r="AF16" s="77" t="s">
        <v>119</v>
      </c>
      <c r="AG16" s="38">
        <v>12000</v>
      </c>
      <c r="AI16" s="77" t="s">
        <v>55</v>
      </c>
      <c r="AJ16" s="38">
        <f>1174+428.61</f>
        <v>1602.6100000000001</v>
      </c>
    </row>
    <row r="17" spans="1:36" outlineLevel="1" x14ac:dyDescent="0.3">
      <c r="A17" s="115">
        <v>2</v>
      </c>
      <c r="B17" s="19" t="str">
        <f t="array" ref="B17">3440&amp;" - "&amp;"Andre tilskudd"</f>
        <v>3440 - Andre tilskudd</v>
      </c>
      <c r="C17" s="2"/>
      <c r="D17" s="2"/>
      <c r="E17" s="2"/>
      <c r="F17" s="2"/>
      <c r="G17" s="2">
        <v>-38750</v>
      </c>
      <c r="H17" s="2"/>
      <c r="I17" s="2"/>
      <c r="J17" s="2">
        <v>-90000</v>
      </c>
      <c r="K17" s="2"/>
      <c r="L17" s="2"/>
      <c r="M17" s="2"/>
      <c r="N17" s="2"/>
      <c r="O17" s="2">
        <v>-128750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54">
        <f>-160000-90000</f>
        <v>-250000</v>
      </c>
      <c r="AC17" s="47">
        <f>-99250-169292</f>
        <v>-268542</v>
      </c>
      <c r="AD17" s="18">
        <f>-40500-16000</f>
        <v>-56500</v>
      </c>
      <c r="AG17" s="80">
        <f>SUM(AG14:AG16)</f>
        <v>58200</v>
      </c>
      <c r="AJ17" s="79">
        <f>SUM(AJ14:AJ16)</f>
        <v>13167.61</v>
      </c>
    </row>
    <row r="18" spans="1:36" x14ac:dyDescent="0.3">
      <c r="A18" s="115"/>
      <c r="B18" s="16" t="s">
        <v>6</v>
      </c>
      <c r="C18" s="1">
        <f t="shared" ref="C18:AD18" si="3">SUM(C19)</f>
        <v>-5000</v>
      </c>
      <c r="D18" s="1">
        <f t="shared" si="3"/>
        <v>-1700</v>
      </c>
      <c r="E18" s="1">
        <f t="shared" si="3"/>
        <v>1000</v>
      </c>
      <c r="F18" s="1">
        <f t="shared" si="3"/>
        <v>0</v>
      </c>
      <c r="G18" s="1">
        <f t="shared" si="3"/>
        <v>0</v>
      </c>
      <c r="H18" s="1">
        <f t="shared" si="3"/>
        <v>-2000</v>
      </c>
      <c r="I18" s="1">
        <f t="shared" si="3"/>
        <v>-2000</v>
      </c>
      <c r="J18" s="1">
        <f t="shared" si="3"/>
        <v>0</v>
      </c>
      <c r="K18" s="1">
        <f t="shared" si="3"/>
        <v>3750</v>
      </c>
      <c r="L18" s="1">
        <f t="shared" si="3"/>
        <v>0</v>
      </c>
      <c r="M18" s="1">
        <f t="shared" si="3"/>
        <v>0</v>
      </c>
      <c r="N18" s="1">
        <f t="shared" si="3"/>
        <v>0</v>
      </c>
      <c r="O18" s="1">
        <f t="shared" si="3"/>
        <v>-5950</v>
      </c>
      <c r="P18" s="1">
        <f t="shared" si="3"/>
        <v>0</v>
      </c>
      <c r="Q18" s="1">
        <f t="shared" si="3"/>
        <v>0</v>
      </c>
      <c r="R18" s="1">
        <f t="shared" si="3"/>
        <v>0</v>
      </c>
      <c r="S18" s="1">
        <f t="shared" si="3"/>
        <v>0</v>
      </c>
      <c r="T18" s="1">
        <f t="shared" si="3"/>
        <v>0</v>
      </c>
      <c r="U18" s="1">
        <f t="shared" si="3"/>
        <v>0</v>
      </c>
      <c r="V18" s="1">
        <f t="shared" si="3"/>
        <v>0</v>
      </c>
      <c r="W18" s="1">
        <f t="shared" si="3"/>
        <v>0</v>
      </c>
      <c r="X18" s="1">
        <f t="shared" si="3"/>
        <v>0</v>
      </c>
      <c r="Y18" s="1">
        <f t="shared" si="3"/>
        <v>0</v>
      </c>
      <c r="Z18" s="1">
        <f t="shared" si="3"/>
        <v>0</v>
      </c>
      <c r="AA18" s="1">
        <f t="shared" si="3"/>
        <v>0</v>
      </c>
      <c r="AB18" s="45">
        <f t="shared" si="3"/>
        <v>-10000</v>
      </c>
      <c r="AC18" s="45">
        <f t="shared" si="3"/>
        <v>-8750</v>
      </c>
      <c r="AD18" s="1">
        <f t="shared" si="3"/>
        <v>0</v>
      </c>
    </row>
    <row r="19" spans="1:36" outlineLevel="1" x14ac:dyDescent="0.3">
      <c r="A19" s="115"/>
      <c r="B19" s="19" t="str">
        <f t="array" ref="B19">3600&amp;" - "&amp;"Leieinntekter"</f>
        <v>3600 - Leieinntekter</v>
      </c>
      <c r="C19" s="2">
        <v>-5000</v>
      </c>
      <c r="D19" s="2">
        <v>-1700</v>
      </c>
      <c r="E19" s="2">
        <v>1000</v>
      </c>
      <c r="F19" s="2"/>
      <c r="G19" s="2"/>
      <c r="H19" s="2">
        <v>-2000</v>
      </c>
      <c r="I19" s="2">
        <v>-2000</v>
      </c>
      <c r="J19" s="2"/>
      <c r="K19" s="2">
        <v>3750</v>
      </c>
      <c r="L19" s="2"/>
      <c r="M19" s="2"/>
      <c r="N19" s="2"/>
      <c r="O19" s="2">
        <v>-5950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54">
        <v>-10000</v>
      </c>
      <c r="AC19" s="47">
        <v>-8750</v>
      </c>
      <c r="AD19" s="18"/>
      <c r="AE19" s="86"/>
      <c r="AF19" s="36" t="s">
        <v>77</v>
      </c>
      <c r="AI19" s="36" t="s">
        <v>113</v>
      </c>
    </row>
    <row r="20" spans="1:36" outlineLevel="1" x14ac:dyDescent="0.3">
      <c r="A20" s="115"/>
      <c r="B20" s="16" t="s">
        <v>10</v>
      </c>
      <c r="C20" s="1">
        <f t="shared" ref="C20:AD20" si="4">SUM(C21:C25)</f>
        <v>-34600</v>
      </c>
      <c r="D20" s="1">
        <f t="shared" si="4"/>
        <v>-20600</v>
      </c>
      <c r="E20" s="1">
        <f t="shared" si="4"/>
        <v>-9991</v>
      </c>
      <c r="F20" s="1">
        <f t="shared" si="4"/>
        <v>-2200</v>
      </c>
      <c r="G20" s="1">
        <f t="shared" si="4"/>
        <v>-800</v>
      </c>
      <c r="H20" s="1">
        <f t="shared" si="4"/>
        <v>-1200</v>
      </c>
      <c r="I20" s="1">
        <f t="shared" si="4"/>
        <v>-400</v>
      </c>
      <c r="J20" s="1">
        <f t="shared" si="4"/>
        <v>-372</v>
      </c>
      <c r="K20" s="1">
        <f t="shared" si="4"/>
        <v>-2232</v>
      </c>
      <c r="L20" s="1">
        <f t="shared" si="4"/>
        <v>-12503.07</v>
      </c>
      <c r="M20" s="1">
        <f t="shared" si="4"/>
        <v>-9240.01</v>
      </c>
      <c r="N20" s="1">
        <f t="shared" si="4"/>
        <v>-33272.979999999996</v>
      </c>
      <c r="O20" s="1">
        <f t="shared" si="4"/>
        <v>-131035.06</v>
      </c>
      <c r="P20" s="1">
        <f t="shared" si="4"/>
        <v>0</v>
      </c>
      <c r="Q20" s="1">
        <f t="shared" si="4"/>
        <v>0</v>
      </c>
      <c r="R20" s="1">
        <f t="shared" si="4"/>
        <v>0</v>
      </c>
      <c r="S20" s="1">
        <f t="shared" si="4"/>
        <v>0</v>
      </c>
      <c r="T20" s="1">
        <f t="shared" si="4"/>
        <v>0</v>
      </c>
      <c r="U20" s="1">
        <f t="shared" si="4"/>
        <v>0</v>
      </c>
      <c r="V20" s="1">
        <f t="shared" si="4"/>
        <v>0</v>
      </c>
      <c r="W20" s="1">
        <f t="shared" si="4"/>
        <v>0</v>
      </c>
      <c r="X20" s="1">
        <f t="shared" si="4"/>
        <v>0</v>
      </c>
      <c r="Y20" s="1">
        <f t="shared" si="4"/>
        <v>0</v>
      </c>
      <c r="Z20" s="1">
        <f t="shared" si="4"/>
        <v>0</v>
      </c>
      <c r="AA20" s="1">
        <f t="shared" si="4"/>
        <v>0</v>
      </c>
      <c r="AB20" s="45">
        <f t="shared" si="4"/>
        <v>-515000</v>
      </c>
      <c r="AC20" s="45">
        <f t="shared" si="4"/>
        <v>-580196</v>
      </c>
      <c r="AD20" s="1">
        <f t="shared" si="4"/>
        <v>-141000</v>
      </c>
      <c r="AE20" s="86"/>
      <c r="AF20" s="81" t="s">
        <v>56</v>
      </c>
      <c r="AG20" s="37">
        <v>8493</v>
      </c>
      <c r="AI20" t="s">
        <v>80</v>
      </c>
      <c r="AJ20" s="37">
        <f>10000+4662</f>
        <v>14662</v>
      </c>
    </row>
    <row r="21" spans="1:36" x14ac:dyDescent="0.3">
      <c r="A21" s="115"/>
      <c r="B21" s="19" t="str">
        <f t="array" ref="B21">3920&amp;" - "&amp;"Medlemskontingenter"</f>
        <v>3920 - Medlemskontingenter</v>
      </c>
      <c r="C21" s="2">
        <v>-34600</v>
      </c>
      <c r="D21" s="2">
        <v>-20600</v>
      </c>
      <c r="E21" s="2">
        <v>-9991</v>
      </c>
      <c r="F21" s="2">
        <v>-2200</v>
      </c>
      <c r="G21" s="2">
        <v>-800</v>
      </c>
      <c r="H21" s="2">
        <v>-1200</v>
      </c>
      <c r="I21" s="2">
        <v>-400</v>
      </c>
      <c r="J21" s="2">
        <v>-372</v>
      </c>
      <c r="K21" s="2">
        <v>-2232</v>
      </c>
      <c r="L21" s="2">
        <v>-12286.06</v>
      </c>
      <c r="M21" s="2">
        <v>-5984.08</v>
      </c>
      <c r="N21" s="2">
        <v>-1132.04</v>
      </c>
      <c r="O21" s="2">
        <v>-91797.18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54">
        <v>-90000</v>
      </c>
      <c r="AC21" s="47">
        <v>-95144</v>
      </c>
      <c r="AD21" s="18">
        <v>-90000</v>
      </c>
      <c r="AF21" s="81" t="s">
        <v>57</v>
      </c>
      <c r="AG21" s="37">
        <v>7578</v>
      </c>
      <c r="AI21" t="s">
        <v>86</v>
      </c>
      <c r="AJ21" s="37">
        <v>58750</v>
      </c>
    </row>
    <row r="22" spans="1:36" outlineLevel="1" x14ac:dyDescent="0.3">
      <c r="A22" s="115"/>
      <c r="B22" s="19" t="str">
        <f t="array" ref="B22">3960&amp;" - "&amp;"Lotterier, bingo etc"</f>
        <v>3960 - Lotterier, bingo etc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54">
        <f>-285000-30000</f>
        <v>-315000</v>
      </c>
      <c r="AC22" s="47">
        <f>-284323-14338</f>
        <v>-298661</v>
      </c>
      <c r="AD22" s="18">
        <v>-18000</v>
      </c>
      <c r="AF22" s="81" t="s">
        <v>58</v>
      </c>
      <c r="AG22" s="38">
        <v>625</v>
      </c>
      <c r="AI22" t="s">
        <v>84</v>
      </c>
      <c r="AJ22" s="37">
        <f>27146</f>
        <v>27146</v>
      </c>
    </row>
    <row r="23" spans="1:36" x14ac:dyDescent="0.3">
      <c r="A23" s="115"/>
      <c r="B23" s="19" t="str">
        <f t="array" ref="B23">3970&amp;" - "&amp;"Momskompensasjon"</f>
        <v>3970 - Momskompensasjon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>
        <v>-32140.94</v>
      </c>
      <c r="O23" s="2">
        <v>-32140.94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54">
        <v>-110000</v>
      </c>
      <c r="AC23" s="47">
        <v>-186391</v>
      </c>
      <c r="AD23" s="18">
        <v>-33000</v>
      </c>
      <c r="AG23" s="80">
        <f>SUM(AG20:AG22)-1</f>
        <v>16695</v>
      </c>
      <c r="AI23" t="s">
        <v>85</v>
      </c>
      <c r="AJ23" s="37">
        <v>68750</v>
      </c>
    </row>
    <row r="24" spans="1:36" outlineLevel="1" x14ac:dyDescent="0.3">
      <c r="A24" s="115"/>
      <c r="B24" s="19" t="str">
        <f t="array" ref="B24">3990&amp;" - "&amp;"Andre inntekter"</f>
        <v>3990 - Andre inntekter</v>
      </c>
      <c r="C24" s="2"/>
      <c r="D24" s="2"/>
      <c r="E24" s="2"/>
      <c r="F24" s="2"/>
      <c r="G24" s="2"/>
      <c r="H24" s="2"/>
      <c r="I24" s="2"/>
      <c r="J24" s="2"/>
      <c r="K24" s="2"/>
      <c r="L24" s="2">
        <v>-217.01</v>
      </c>
      <c r="M24" s="2">
        <v>-3255.93</v>
      </c>
      <c r="N24" s="2"/>
      <c r="O24" s="2">
        <v>-3472.94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54"/>
      <c r="AC24" s="47"/>
      <c r="AD24" s="18"/>
      <c r="AI24" t="s">
        <v>81</v>
      </c>
      <c r="AJ24" s="37">
        <f>33390+17609+2678.8+49221</f>
        <v>102898.8</v>
      </c>
    </row>
    <row r="25" spans="1:36" outlineLevel="1" x14ac:dyDescent="0.3">
      <c r="A25" s="115"/>
      <c r="B25" s="19" t="str">
        <f t="array" ref="B25">3996&amp;" - "&amp;"Uidentifisert Inntekt Vipps"</f>
        <v>3996 - Uidentifisert Inntekt Vipps</v>
      </c>
      <c r="C25" s="2"/>
      <c r="D25" s="2"/>
      <c r="E25" s="2"/>
      <c r="F25" s="2"/>
      <c r="G25" s="2"/>
      <c r="H25" s="2">
        <v>0</v>
      </c>
      <c r="I25" s="2">
        <v>0</v>
      </c>
      <c r="J25" s="2"/>
      <c r="K25" s="2">
        <v>0</v>
      </c>
      <c r="L25" s="2"/>
      <c r="M25" s="2"/>
      <c r="N25" s="2"/>
      <c r="O25" s="54">
        <v>-3624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54">
        <f t="shared" ref="AB25" si="5">SUM(P25)</f>
        <v>0</v>
      </c>
      <c r="AC25" s="47"/>
      <c r="AD25" s="18"/>
      <c r="AI25" t="s">
        <v>82</v>
      </c>
      <c r="AJ25" s="37">
        <f>37166.5+3652.75</f>
        <v>40819.25</v>
      </c>
    </row>
    <row r="26" spans="1:36" outlineLevel="1" x14ac:dyDescent="0.3">
      <c r="A26" s="115"/>
      <c r="B26" s="28" t="s">
        <v>7</v>
      </c>
      <c r="C26" s="7">
        <f t="shared" ref="C26:AD26" si="6">C20+C18+C15+C12</f>
        <v>-39600</v>
      </c>
      <c r="D26" s="7">
        <f t="shared" si="6"/>
        <v>-22300</v>
      </c>
      <c r="E26" s="7">
        <f t="shared" si="6"/>
        <v>-8991</v>
      </c>
      <c r="F26" s="7">
        <f t="shared" si="6"/>
        <v>-2200</v>
      </c>
      <c r="G26" s="7">
        <f t="shared" si="6"/>
        <v>-39550</v>
      </c>
      <c r="H26" s="7">
        <f t="shared" si="6"/>
        <v>-3780</v>
      </c>
      <c r="I26" s="7">
        <f t="shared" si="6"/>
        <v>-2400</v>
      </c>
      <c r="J26" s="7">
        <f t="shared" si="6"/>
        <v>-90372</v>
      </c>
      <c r="K26" s="7">
        <f t="shared" si="6"/>
        <v>1518</v>
      </c>
      <c r="L26" s="7">
        <f t="shared" si="6"/>
        <v>-12503.07</v>
      </c>
      <c r="M26" s="7">
        <f t="shared" si="6"/>
        <v>-116465.01</v>
      </c>
      <c r="N26" s="7">
        <f t="shared" si="6"/>
        <v>-174552.97999999998</v>
      </c>
      <c r="O26" s="7">
        <f t="shared" si="6"/>
        <v>-514820.06</v>
      </c>
      <c r="P26" s="7">
        <f t="shared" si="6"/>
        <v>0</v>
      </c>
      <c r="Q26" s="7">
        <f t="shared" si="6"/>
        <v>0</v>
      </c>
      <c r="R26" s="7">
        <f t="shared" si="6"/>
        <v>0</v>
      </c>
      <c r="S26" s="7">
        <f t="shared" si="6"/>
        <v>0</v>
      </c>
      <c r="T26" s="7">
        <f t="shared" si="6"/>
        <v>0</v>
      </c>
      <c r="U26" s="7">
        <f t="shared" si="6"/>
        <v>0</v>
      </c>
      <c r="V26" s="7">
        <f t="shared" si="6"/>
        <v>0</v>
      </c>
      <c r="W26" s="7">
        <f t="shared" si="6"/>
        <v>0</v>
      </c>
      <c r="X26" s="7">
        <f t="shared" si="6"/>
        <v>0</v>
      </c>
      <c r="Y26" s="7">
        <f t="shared" si="6"/>
        <v>0</v>
      </c>
      <c r="Z26" s="7">
        <f t="shared" si="6"/>
        <v>0</v>
      </c>
      <c r="AA26" s="7">
        <f t="shared" si="6"/>
        <v>0</v>
      </c>
      <c r="AB26" s="51">
        <f t="shared" si="6"/>
        <v>-785000</v>
      </c>
      <c r="AC26" s="51">
        <f t="shared" si="6"/>
        <v>-1323488</v>
      </c>
      <c r="AD26" s="7">
        <f t="shared" si="6"/>
        <v>-242000</v>
      </c>
      <c r="AI26" t="s">
        <v>83</v>
      </c>
      <c r="AJ26" s="37">
        <f>3927.5+5676</f>
        <v>9603.5</v>
      </c>
    </row>
    <row r="27" spans="1:36" outlineLevel="1" x14ac:dyDescent="0.3">
      <c r="A27" s="115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55"/>
      <c r="AC27" s="52"/>
      <c r="AD27" s="22"/>
      <c r="AF27" t="s">
        <v>96</v>
      </c>
      <c r="AI27" t="s">
        <v>88</v>
      </c>
      <c r="AJ27" s="37">
        <v>14793</v>
      </c>
    </row>
    <row r="28" spans="1:36" outlineLevel="1" x14ac:dyDescent="0.3">
      <c r="A28" s="115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55"/>
      <c r="AC28" s="52"/>
      <c r="AD28" s="22"/>
      <c r="AF28" s="36" t="s">
        <v>78</v>
      </c>
      <c r="AI28" t="s">
        <v>87</v>
      </c>
      <c r="AJ28" s="37">
        <f>3324.3+5676</f>
        <v>9000.2999999999993</v>
      </c>
    </row>
    <row r="29" spans="1:36" ht="21" x14ac:dyDescent="0.4">
      <c r="A29" s="115"/>
      <c r="B29" s="21" t="s">
        <v>19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F29" t="s">
        <v>71</v>
      </c>
      <c r="AI29" t="s">
        <v>89</v>
      </c>
      <c r="AJ29" s="37">
        <f>2170+1529</f>
        <v>3699</v>
      </c>
    </row>
    <row r="30" spans="1:36" x14ac:dyDescent="0.3">
      <c r="A30" s="115"/>
      <c r="B30" s="16" t="s">
        <v>18</v>
      </c>
      <c r="C30" s="1">
        <f t="shared" ref="C30:AC30" si="7">SUM(0)</f>
        <v>0</v>
      </c>
      <c r="D30" s="1">
        <f t="shared" si="7"/>
        <v>0</v>
      </c>
      <c r="E30" s="1">
        <f t="shared" si="7"/>
        <v>0</v>
      </c>
      <c r="F30" s="1">
        <f t="shared" si="7"/>
        <v>0</v>
      </c>
      <c r="G30" s="1">
        <f t="shared" si="7"/>
        <v>0</v>
      </c>
      <c r="H30" s="1">
        <f t="shared" si="7"/>
        <v>0</v>
      </c>
      <c r="I30" s="1">
        <f t="shared" si="7"/>
        <v>0</v>
      </c>
      <c r="J30" s="1">
        <f t="shared" si="7"/>
        <v>0</v>
      </c>
      <c r="K30" s="1">
        <f t="shared" si="7"/>
        <v>0</v>
      </c>
      <c r="L30" s="1">
        <f t="shared" si="7"/>
        <v>0</v>
      </c>
      <c r="M30" s="1">
        <f t="shared" si="7"/>
        <v>0</v>
      </c>
      <c r="N30" s="1">
        <f t="shared" si="7"/>
        <v>0</v>
      </c>
      <c r="O30" s="1">
        <f t="shared" si="7"/>
        <v>0</v>
      </c>
      <c r="P30" s="1">
        <f t="shared" si="7"/>
        <v>0</v>
      </c>
      <c r="Q30" s="1">
        <f t="shared" si="7"/>
        <v>0</v>
      </c>
      <c r="R30" s="1">
        <f t="shared" si="7"/>
        <v>0</v>
      </c>
      <c r="S30" s="1">
        <f t="shared" si="7"/>
        <v>0</v>
      </c>
      <c r="T30" s="1">
        <f t="shared" si="7"/>
        <v>0</v>
      </c>
      <c r="U30" s="1">
        <f t="shared" si="7"/>
        <v>0</v>
      </c>
      <c r="V30" s="1">
        <f t="shared" si="7"/>
        <v>0</v>
      </c>
      <c r="W30" s="1">
        <f t="shared" si="7"/>
        <v>0</v>
      </c>
      <c r="X30" s="1">
        <f t="shared" si="7"/>
        <v>0</v>
      </c>
      <c r="Y30" s="1">
        <f t="shared" si="7"/>
        <v>0</v>
      </c>
      <c r="Z30" s="1">
        <f t="shared" si="7"/>
        <v>0</v>
      </c>
      <c r="AA30" s="1">
        <f t="shared" si="7"/>
        <v>0</v>
      </c>
      <c r="AB30" s="45">
        <f>AB31</f>
        <v>65000</v>
      </c>
      <c r="AC30" s="45">
        <f t="shared" si="7"/>
        <v>0</v>
      </c>
      <c r="AD30" s="1">
        <f>SUM(AD31)</f>
        <v>4000</v>
      </c>
      <c r="AI30" t="s">
        <v>79</v>
      </c>
      <c r="AJ30" s="37">
        <f>2246+59.9+2763.3+3082+95+2170+3324.3+1529-AJ28-AJ29</f>
        <v>2570.2000000000007</v>
      </c>
    </row>
    <row r="31" spans="1:36" x14ac:dyDescent="0.3">
      <c r="A31" s="115"/>
      <c r="B31" s="19" t="s">
        <v>95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6">
        <v>65000</v>
      </c>
      <c r="AC31" s="46"/>
      <c r="AD31" s="41">
        <v>4000</v>
      </c>
      <c r="AJ31" s="80">
        <f>SUM(AJ20:AJ30)</f>
        <v>352692.05</v>
      </c>
    </row>
    <row r="32" spans="1:36" x14ac:dyDescent="0.3">
      <c r="A32" s="115"/>
      <c r="B32" s="16" t="s">
        <v>2</v>
      </c>
      <c r="C32" s="1">
        <f t="shared" ref="C32:AD32" si="8">SUM(C33:C35)</f>
        <v>6000</v>
      </c>
      <c r="D32" s="1">
        <f t="shared" si="8"/>
        <v>1500</v>
      </c>
      <c r="E32" s="1">
        <f t="shared" si="8"/>
        <v>38650</v>
      </c>
      <c r="F32" s="1">
        <f t="shared" si="8"/>
        <v>0</v>
      </c>
      <c r="G32" s="1">
        <f t="shared" si="8"/>
        <v>0</v>
      </c>
      <c r="H32" s="1">
        <f t="shared" si="8"/>
        <v>5300</v>
      </c>
      <c r="I32" s="1">
        <f t="shared" si="8"/>
        <v>250</v>
      </c>
      <c r="J32" s="1">
        <f t="shared" si="8"/>
        <v>0</v>
      </c>
      <c r="K32" s="1">
        <f t="shared" si="8"/>
        <v>6500</v>
      </c>
      <c r="L32" s="1">
        <f t="shared" si="8"/>
        <v>0</v>
      </c>
      <c r="M32" s="1">
        <f t="shared" si="8"/>
        <v>0</v>
      </c>
      <c r="N32" s="1">
        <f t="shared" si="8"/>
        <v>0</v>
      </c>
      <c r="O32" s="1">
        <f t="shared" si="8"/>
        <v>58200</v>
      </c>
      <c r="P32" s="1">
        <f t="shared" si="8"/>
        <v>0</v>
      </c>
      <c r="Q32" s="1">
        <f t="shared" si="8"/>
        <v>0</v>
      </c>
      <c r="R32" s="1">
        <f t="shared" si="8"/>
        <v>0</v>
      </c>
      <c r="S32" s="1">
        <f t="shared" si="8"/>
        <v>0</v>
      </c>
      <c r="T32" s="1">
        <f t="shared" si="8"/>
        <v>0</v>
      </c>
      <c r="U32" s="1">
        <f t="shared" si="8"/>
        <v>0</v>
      </c>
      <c r="V32" s="1">
        <f t="shared" si="8"/>
        <v>0</v>
      </c>
      <c r="W32" s="1">
        <f t="shared" si="8"/>
        <v>0</v>
      </c>
      <c r="X32" s="1">
        <f t="shared" si="8"/>
        <v>0</v>
      </c>
      <c r="Y32" s="1">
        <f t="shared" si="8"/>
        <v>0</v>
      </c>
      <c r="Z32" s="1">
        <f t="shared" si="8"/>
        <v>0</v>
      </c>
      <c r="AA32" s="1">
        <f t="shared" si="8"/>
        <v>0</v>
      </c>
      <c r="AB32" s="45">
        <f t="shared" si="8"/>
        <v>46750</v>
      </c>
      <c r="AC32" s="45">
        <f t="shared" si="8"/>
        <v>42750</v>
      </c>
      <c r="AD32" s="1">
        <f t="shared" si="8"/>
        <v>45750</v>
      </c>
    </row>
    <row r="33" spans="1:38" x14ac:dyDescent="0.3">
      <c r="A33" s="115">
        <v>3</v>
      </c>
      <c r="B33" s="19" t="str">
        <f t="array" ref="B33">5014&amp;" - "&amp;"Honorar uten AGA (inkl.feriepenger)"</f>
        <v>5014 - Honorar uten AGA (inkl.feriepenger)</v>
      </c>
      <c r="C33" s="2"/>
      <c r="D33" s="2">
        <v>1500</v>
      </c>
      <c r="E33" s="2">
        <v>15650</v>
      </c>
      <c r="F33" s="2"/>
      <c r="G33" s="2"/>
      <c r="H33" s="2">
        <v>5300</v>
      </c>
      <c r="I33" s="2">
        <v>250</v>
      </c>
      <c r="J33" s="2"/>
      <c r="K33" s="2">
        <v>6500</v>
      </c>
      <c r="L33" s="2"/>
      <c r="M33" s="2"/>
      <c r="N33" s="2"/>
      <c r="O33" s="2">
        <v>29200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54">
        <v>18500</v>
      </c>
      <c r="AC33" s="47">
        <v>13500</v>
      </c>
      <c r="AD33" s="18">
        <v>12000</v>
      </c>
      <c r="AF33" s="36" t="s">
        <v>108</v>
      </c>
      <c r="AI33" s="36" t="s">
        <v>109</v>
      </c>
    </row>
    <row r="34" spans="1:38" x14ac:dyDescent="0.3">
      <c r="A34" s="115">
        <v>3</v>
      </c>
      <c r="B34" s="19" t="str">
        <f t="array" ref="B34">5330&amp;" - "&amp;"Godtgjørelse til styret"</f>
        <v>5330 - Godtgjørelse til styret</v>
      </c>
      <c r="C34" s="2"/>
      <c r="D34" s="2"/>
      <c r="E34" s="2">
        <v>23000</v>
      </c>
      <c r="F34" s="2"/>
      <c r="G34" s="2"/>
      <c r="H34" s="2"/>
      <c r="I34" s="2"/>
      <c r="J34" s="2"/>
      <c r="K34" s="2"/>
      <c r="L34" s="2"/>
      <c r="M34" s="2"/>
      <c r="N34" s="2"/>
      <c r="O34" s="2">
        <v>23000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54">
        <v>18250</v>
      </c>
      <c r="AC34" s="47">
        <v>19250</v>
      </c>
      <c r="AD34" s="18">
        <v>18750</v>
      </c>
      <c r="AF34" t="s">
        <v>70</v>
      </c>
      <c r="AI34" t="s">
        <v>59</v>
      </c>
    </row>
    <row r="35" spans="1:38" x14ac:dyDescent="0.3">
      <c r="A35" s="115">
        <v>3</v>
      </c>
      <c r="B35" s="19" t="str">
        <f>5990&amp;" - "&amp;"Andre personalkostnader"</f>
        <v>5990 - Andre personalkostnader</v>
      </c>
      <c r="C35" s="2">
        <v>6000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6000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54">
        <v>10000</v>
      </c>
      <c r="AC35" s="47">
        <v>10000</v>
      </c>
      <c r="AD35" s="18">
        <v>15000</v>
      </c>
      <c r="AL35" s="84"/>
    </row>
    <row r="36" spans="1:38" outlineLevel="1" x14ac:dyDescent="0.3">
      <c r="A36" s="115"/>
      <c r="B36" s="16" t="s">
        <v>8</v>
      </c>
      <c r="C36" s="1">
        <f t="shared" ref="C36:AA36" si="9">SUM(C37:C53)</f>
        <v>40694.700000000004</v>
      </c>
      <c r="D36" s="1">
        <f t="shared" si="9"/>
        <v>5383.4</v>
      </c>
      <c r="E36" s="1">
        <f t="shared" si="9"/>
        <v>46387.41</v>
      </c>
      <c r="F36" s="1">
        <f t="shared" si="9"/>
        <v>6154.8300000000008</v>
      </c>
      <c r="G36" s="1">
        <f t="shared" si="9"/>
        <v>20848.2</v>
      </c>
      <c r="H36" s="1">
        <f t="shared" si="9"/>
        <v>16642.830000000002</v>
      </c>
      <c r="I36" s="1">
        <f t="shared" si="9"/>
        <v>180658.04</v>
      </c>
      <c r="J36" s="1">
        <f t="shared" si="9"/>
        <v>58264.4</v>
      </c>
      <c r="K36" s="1">
        <f t="shared" si="9"/>
        <v>83312.319999999992</v>
      </c>
      <c r="L36" s="1">
        <f t="shared" si="9"/>
        <v>8318.98</v>
      </c>
      <c r="M36" s="1">
        <f t="shared" si="9"/>
        <v>13722.79</v>
      </c>
      <c r="N36" s="1">
        <f t="shared" si="9"/>
        <v>33412.47</v>
      </c>
      <c r="O36" s="1">
        <f t="shared" si="9"/>
        <v>513800.37</v>
      </c>
      <c r="P36" s="1">
        <f t="shared" si="9"/>
        <v>0</v>
      </c>
      <c r="Q36" s="1">
        <f t="shared" si="9"/>
        <v>0</v>
      </c>
      <c r="R36" s="1">
        <f t="shared" si="9"/>
        <v>0</v>
      </c>
      <c r="S36" s="1">
        <f t="shared" si="9"/>
        <v>0</v>
      </c>
      <c r="T36" s="1">
        <f t="shared" si="9"/>
        <v>0</v>
      </c>
      <c r="U36" s="1">
        <f t="shared" si="9"/>
        <v>0</v>
      </c>
      <c r="V36" s="1">
        <f t="shared" si="9"/>
        <v>0</v>
      </c>
      <c r="W36" s="1">
        <f t="shared" si="9"/>
        <v>0</v>
      </c>
      <c r="X36" s="1">
        <f t="shared" si="9"/>
        <v>0</v>
      </c>
      <c r="Y36" s="1">
        <f t="shared" si="9"/>
        <v>0</v>
      </c>
      <c r="Z36" s="1">
        <f t="shared" si="9"/>
        <v>0</v>
      </c>
      <c r="AA36" s="1">
        <f t="shared" si="9"/>
        <v>0</v>
      </c>
      <c r="AB36" s="45">
        <f>SUM(AB37:AB55)</f>
        <v>725900</v>
      </c>
      <c r="AC36" s="45">
        <f>SUM(AC37:AC55)</f>
        <v>1014938</v>
      </c>
      <c r="AD36" s="1">
        <f>SUM(AD37:AD55)</f>
        <v>159200</v>
      </c>
    </row>
    <row r="37" spans="1:38" outlineLevel="1" x14ac:dyDescent="0.3">
      <c r="A37" s="115"/>
      <c r="B37" s="19" t="str">
        <f t="array" ref="B37">6100&amp;" - "&amp;"Frakt, transportkostnad, toll og avgifter"</f>
        <v>6100 - Frakt, transportkostnad, toll og avgifter</v>
      </c>
      <c r="C37" s="2"/>
      <c r="D37" s="2"/>
      <c r="E37" s="2">
        <v>2625</v>
      </c>
      <c r="F37" s="2"/>
      <c r="G37" s="2"/>
      <c r="H37" s="2"/>
      <c r="I37" s="2"/>
      <c r="J37" s="2"/>
      <c r="K37" s="2"/>
      <c r="L37" s="2"/>
      <c r="M37" s="2"/>
      <c r="N37" s="2"/>
      <c r="O37" s="2">
        <v>2625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54"/>
      <c r="AC37" s="47"/>
      <c r="AD37" s="18"/>
      <c r="AF37" s="36" t="s">
        <v>110</v>
      </c>
      <c r="AI37" s="83" t="s">
        <v>111</v>
      </c>
    </row>
    <row r="38" spans="1:38" outlineLevel="1" x14ac:dyDescent="0.3">
      <c r="A38" s="115"/>
      <c r="B38" s="19" t="str">
        <f t="array" ref="B38">6320&amp;" - "&amp;"Renovasjon, vann, avløp"</f>
        <v>6320 - Renovasjon, vann, avløp</v>
      </c>
      <c r="C38" s="2"/>
      <c r="D38" s="2"/>
      <c r="E38" s="2">
        <v>3586.91</v>
      </c>
      <c r="F38" s="2">
        <v>1195.6300000000001</v>
      </c>
      <c r="G38" s="2"/>
      <c r="H38" s="2">
        <v>2391.27</v>
      </c>
      <c r="I38" s="2"/>
      <c r="J38" s="2">
        <v>4150</v>
      </c>
      <c r="K38" s="2">
        <v>2391.27</v>
      </c>
      <c r="L38" s="2"/>
      <c r="M38" s="2"/>
      <c r="N38" s="2"/>
      <c r="O38" s="2">
        <v>13715.08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54"/>
      <c r="AC38" s="47"/>
      <c r="AD38" s="18">
        <v>11000</v>
      </c>
      <c r="AF38" s="78" t="s">
        <v>60</v>
      </c>
      <c r="AG38" s="37">
        <f>285+2417</f>
        <v>2702</v>
      </c>
      <c r="AI38" t="s">
        <v>97</v>
      </c>
      <c r="AJ38" s="37">
        <v>14050</v>
      </c>
    </row>
    <row r="39" spans="1:38" outlineLevel="1" x14ac:dyDescent="0.3">
      <c r="A39" s="115">
        <v>4</v>
      </c>
      <c r="B39" s="19" t="str">
        <f t="array" ref="B39">6360&amp;" - "&amp;"Renhold"</f>
        <v>6360 - Renhold</v>
      </c>
      <c r="C39" s="2"/>
      <c r="D39" s="2"/>
      <c r="E39" s="2"/>
      <c r="F39" s="2"/>
      <c r="G39" s="2"/>
      <c r="H39" s="2"/>
      <c r="I39" s="2">
        <v>7500</v>
      </c>
      <c r="J39" s="2">
        <v>3067.61</v>
      </c>
      <c r="K39" s="2">
        <v>2600</v>
      </c>
      <c r="L39" s="2"/>
      <c r="M39" s="2"/>
      <c r="N39" s="2"/>
      <c r="O39" s="2">
        <v>13167.61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54"/>
      <c r="AC39" s="47"/>
      <c r="AD39" s="18">
        <v>3000</v>
      </c>
      <c r="AF39" s="78" t="s">
        <v>61</v>
      </c>
      <c r="AG39" s="38">
        <v>1261.4000000000001</v>
      </c>
      <c r="AI39" t="s">
        <v>62</v>
      </c>
      <c r="AJ39" s="38">
        <f>373+1259+64.7</f>
        <v>1696.7</v>
      </c>
    </row>
    <row r="40" spans="1:38" outlineLevel="1" x14ac:dyDescent="0.3">
      <c r="A40" s="115">
        <v>6</v>
      </c>
      <c r="B40" s="19" t="str">
        <f t="array" ref="B40">6390&amp;" - "&amp;"Annen kostnad lokaler"</f>
        <v>6390 - Annen kostnad lokaler</v>
      </c>
      <c r="C40" s="2"/>
      <c r="D40" s="2"/>
      <c r="E40" s="2"/>
      <c r="F40" s="2"/>
      <c r="G40" s="2"/>
      <c r="H40" s="2"/>
      <c r="I40" s="2">
        <v>525</v>
      </c>
      <c r="J40" s="2"/>
      <c r="K40" s="2"/>
      <c r="L40" s="2"/>
      <c r="M40" s="2"/>
      <c r="N40" s="2">
        <v>1721</v>
      </c>
      <c r="O40" s="2">
        <v>2246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54"/>
      <c r="AC40" s="47"/>
      <c r="AD40" s="18"/>
      <c r="AF40" s="78"/>
      <c r="AG40" s="80">
        <f>SUM(AG38:AG39)</f>
        <v>3963.4</v>
      </c>
      <c r="AJ40" s="80">
        <f>SUM(AJ38:AJ39)</f>
        <v>15746.7</v>
      </c>
    </row>
    <row r="41" spans="1:38" x14ac:dyDescent="0.3">
      <c r="A41" s="115"/>
      <c r="B41" s="19" t="str">
        <f t="array" ref="B41">6540&amp;" - "&amp;"Inventar"</f>
        <v>6540 - Inventar</v>
      </c>
      <c r="C41" s="2"/>
      <c r="D41" s="2"/>
      <c r="E41" s="2">
        <v>5000</v>
      </c>
      <c r="F41" s="2"/>
      <c r="G41" s="2"/>
      <c r="H41" s="2"/>
      <c r="I41" s="2">
        <v>2744</v>
      </c>
      <c r="J41" s="2">
        <v>7755</v>
      </c>
      <c r="K41" s="2"/>
      <c r="L41" s="2"/>
      <c r="M41" s="2"/>
      <c r="N41" s="2"/>
      <c r="O41" s="2">
        <v>15499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54"/>
      <c r="AC41" s="47"/>
      <c r="AD41" s="18">
        <v>5000</v>
      </c>
    </row>
    <row r="42" spans="1:38" outlineLevel="1" x14ac:dyDescent="0.3">
      <c r="A42" s="115">
        <v>5</v>
      </c>
      <c r="B42" s="19" t="str">
        <f t="array" ref="B42">6552&amp;" - "&amp;"Datautstyr (Programvare)"</f>
        <v>6552 - Datautstyr (Programvare)</v>
      </c>
      <c r="C42" s="2">
        <v>190</v>
      </c>
      <c r="D42" s="2"/>
      <c r="E42" s="2"/>
      <c r="F42" s="2"/>
      <c r="G42" s="2"/>
      <c r="H42" s="2">
        <v>3001.25</v>
      </c>
      <c r="I42" s="2">
        <v>3001.25</v>
      </c>
      <c r="J42" s="2">
        <v>1082.5</v>
      </c>
      <c r="K42" s="2">
        <v>1082.5</v>
      </c>
      <c r="L42" s="2">
        <v>1082.5</v>
      </c>
      <c r="M42" s="2">
        <v>5972.5</v>
      </c>
      <c r="N42" s="2">
        <v>1282.5</v>
      </c>
      <c r="O42" s="2">
        <v>16695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54">
        <v>13000</v>
      </c>
      <c r="AC42" s="47">
        <v>12990</v>
      </c>
      <c r="AD42" s="18">
        <v>8000</v>
      </c>
      <c r="AE42"/>
      <c r="AG42"/>
      <c r="AJ42"/>
    </row>
    <row r="43" spans="1:38" outlineLevel="1" x14ac:dyDescent="0.3">
      <c r="A43" s="115"/>
      <c r="B43" s="19" t="str">
        <f t="array" ref="B43">6590&amp;" - "&amp;"Annet driftsmateriale"</f>
        <v>6590 - Annet driftsmateriale</v>
      </c>
      <c r="C43" s="2"/>
      <c r="D43" s="2"/>
      <c r="E43" s="2"/>
      <c r="F43" s="2"/>
      <c r="G43" s="2">
        <v>1350.7</v>
      </c>
      <c r="H43" s="2"/>
      <c r="I43" s="2"/>
      <c r="J43" s="2"/>
      <c r="K43" s="2"/>
      <c r="L43" s="2"/>
      <c r="M43" s="2">
        <v>399.2</v>
      </c>
      <c r="N43" s="2"/>
      <c r="O43" s="2">
        <v>1749.9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54"/>
      <c r="AC43" s="47"/>
      <c r="AD43" s="18"/>
      <c r="AE43"/>
      <c r="AG43"/>
      <c r="AJ43"/>
    </row>
    <row r="44" spans="1:38" outlineLevel="1" x14ac:dyDescent="0.3">
      <c r="A44" s="115">
        <v>6</v>
      </c>
      <c r="B44" s="19" t="str">
        <f t="array" ref="B44">6600&amp;" - "&amp;"Reparasjon og vedlikehold bygninger"</f>
        <v>6600 - Reparasjon og vedlikehold bygninger</v>
      </c>
      <c r="C44" s="2">
        <v>33752.300000000003</v>
      </c>
      <c r="D44" s="2"/>
      <c r="E44" s="2"/>
      <c r="F44" s="2">
        <v>59.9</v>
      </c>
      <c r="G44" s="2">
        <v>14662</v>
      </c>
      <c r="H44" s="2">
        <v>2763.3</v>
      </c>
      <c r="I44" s="2">
        <v>162052</v>
      </c>
      <c r="J44" s="2">
        <v>37261.5</v>
      </c>
      <c r="K44" s="2">
        <v>72402.75</v>
      </c>
      <c r="L44" s="2">
        <v>2170</v>
      </c>
      <c r="M44" s="2"/>
      <c r="N44" s="2">
        <v>25322.3</v>
      </c>
      <c r="O44" s="2">
        <v>350446.05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54">
        <v>120000</v>
      </c>
      <c r="AC44" s="47">
        <v>97010</v>
      </c>
      <c r="AD44" s="18">
        <v>10000</v>
      </c>
      <c r="AE44"/>
      <c r="AG44"/>
      <c r="AJ44"/>
    </row>
    <row r="45" spans="1:38" outlineLevel="1" x14ac:dyDescent="0.3">
      <c r="A45" s="115"/>
      <c r="B45" s="19" t="s">
        <v>43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54">
        <v>15000</v>
      </c>
      <c r="AC45" s="47">
        <v>304316</v>
      </c>
      <c r="AD45" s="18">
        <v>5000</v>
      </c>
      <c r="AE45"/>
      <c r="AG45"/>
      <c r="AJ45"/>
    </row>
    <row r="46" spans="1:38" outlineLevel="1" x14ac:dyDescent="0.3">
      <c r="A46" s="115">
        <v>7</v>
      </c>
      <c r="B46" s="19" t="str">
        <f t="array" ref="B46">6720&amp;" - "&amp;"Økonomisk og juridisk bistand"</f>
        <v>6720 - Økonomisk og juridisk bistand</v>
      </c>
      <c r="C46" s="2">
        <v>4062.5</v>
      </c>
      <c r="D46" s="2">
        <v>4062.5</v>
      </c>
      <c r="E46" s="2">
        <v>4062.5</v>
      </c>
      <c r="F46" s="2">
        <v>4062.5</v>
      </c>
      <c r="G46" s="2">
        <v>4062.5</v>
      </c>
      <c r="H46" s="2">
        <v>4062.52</v>
      </c>
      <c r="I46" s="2">
        <v>4062.5</v>
      </c>
      <c r="J46" s="2">
        <v>4062.5</v>
      </c>
      <c r="K46" s="2">
        <v>4062.51</v>
      </c>
      <c r="L46" s="2">
        <v>4062.5</v>
      </c>
      <c r="M46" s="2">
        <v>4062.5</v>
      </c>
      <c r="N46" s="2">
        <v>4062.51</v>
      </c>
      <c r="O46" s="2">
        <v>48750.04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54">
        <v>3000</v>
      </c>
      <c r="AC46" s="47">
        <v>10500</v>
      </c>
      <c r="AD46" s="18">
        <v>80000</v>
      </c>
      <c r="AE46"/>
      <c r="AG46"/>
      <c r="AJ46"/>
    </row>
    <row r="47" spans="1:38" outlineLevel="1" x14ac:dyDescent="0.3">
      <c r="A47" s="115"/>
      <c r="B47" s="19" t="str">
        <f t="array" ref="B47">6770&amp;" - "&amp;"Medisinsk behandling, utstyr etc"</f>
        <v>6770 - Medisinsk behandling, utstyr etc</v>
      </c>
      <c r="C47" s="2">
        <v>424</v>
      </c>
      <c r="D47" s="2">
        <v>424</v>
      </c>
      <c r="E47" s="2">
        <v>424</v>
      </c>
      <c r="F47" s="2">
        <v>424</v>
      </c>
      <c r="G47" s="2">
        <v>424</v>
      </c>
      <c r="H47" s="2">
        <v>424.29</v>
      </c>
      <c r="I47" s="2">
        <v>424.29</v>
      </c>
      <c r="J47" s="2">
        <v>424.29</v>
      </c>
      <c r="K47" s="2">
        <v>424.29</v>
      </c>
      <c r="L47" s="2">
        <v>424.29</v>
      </c>
      <c r="M47" s="2">
        <v>424.29</v>
      </c>
      <c r="N47" s="2">
        <v>424.26</v>
      </c>
      <c r="O47" s="2">
        <v>5090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54"/>
      <c r="AC47" s="47"/>
      <c r="AD47" s="18">
        <v>5200</v>
      </c>
      <c r="AE47"/>
      <c r="AG47"/>
      <c r="AJ47"/>
    </row>
    <row r="48" spans="1:38" outlineLevel="1" x14ac:dyDescent="0.3">
      <c r="A48" s="115">
        <v>8</v>
      </c>
      <c r="B48" s="19" t="str">
        <f t="array" ref="B48">6790&amp;" - "&amp;"Annen fremmed tjeneste"</f>
        <v>6790 - Annen fremmed tjeneste</v>
      </c>
      <c r="C48" s="2"/>
      <c r="D48" s="2"/>
      <c r="E48" s="2">
        <v>30000</v>
      </c>
      <c r="F48" s="2"/>
      <c r="G48" s="2"/>
      <c r="H48" s="2"/>
      <c r="I48" s="2"/>
      <c r="J48" s="2"/>
      <c r="K48" s="2"/>
      <c r="L48" s="2"/>
      <c r="M48" s="2"/>
      <c r="N48" s="2"/>
      <c r="O48" s="2">
        <v>30000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54">
        <f>7000</f>
        <v>7000</v>
      </c>
      <c r="AC48" s="47">
        <v>6331</v>
      </c>
      <c r="AD48" s="18">
        <v>10000</v>
      </c>
      <c r="AE48"/>
      <c r="AG48"/>
      <c r="AJ48"/>
    </row>
    <row r="49" spans="1:36" outlineLevel="1" x14ac:dyDescent="0.3">
      <c r="A49" s="115"/>
      <c r="B49" s="19" t="str">
        <f t="array" ref="B49">6800&amp;" - "&amp;"Kontorrekvisita"</f>
        <v>6800 - Kontorrekvisita</v>
      </c>
      <c r="C49" s="2">
        <v>676.9</v>
      </c>
      <c r="D49" s="2">
        <v>547.9</v>
      </c>
      <c r="E49" s="2">
        <v>340</v>
      </c>
      <c r="F49" s="2">
        <v>63.8</v>
      </c>
      <c r="G49" s="2"/>
      <c r="H49" s="2">
        <v>1262</v>
      </c>
      <c r="I49" s="2"/>
      <c r="J49" s="2">
        <v>112</v>
      </c>
      <c r="K49" s="2"/>
      <c r="L49" s="2"/>
      <c r="M49" s="2"/>
      <c r="N49" s="2">
        <v>250.9</v>
      </c>
      <c r="O49" s="2">
        <v>3253.5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54">
        <v>5000</v>
      </c>
      <c r="AC49" s="47">
        <f>1693+3677+5881+51</f>
        <v>11302</v>
      </c>
      <c r="AD49" s="18">
        <v>2000</v>
      </c>
      <c r="AE49"/>
      <c r="AG49"/>
      <c r="AJ49"/>
    </row>
    <row r="50" spans="1:36" outlineLevel="1" x14ac:dyDescent="0.3">
      <c r="A50" s="115"/>
      <c r="B50" s="19" t="str">
        <f t="array" ref="B50">6810&amp;" - "&amp;"Data/EDB-kostnad"</f>
        <v>6810 - Data/EDB-kostnad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2325.4</v>
      </c>
      <c r="N50" s="2"/>
      <c r="O50" s="2">
        <v>2325.4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54"/>
      <c r="AC50" s="47"/>
      <c r="AD50" s="18">
        <v>5000</v>
      </c>
      <c r="AE50"/>
      <c r="AG50"/>
      <c r="AJ50"/>
    </row>
    <row r="51" spans="1:36" outlineLevel="1" x14ac:dyDescent="0.3">
      <c r="A51" s="115"/>
      <c r="B51" s="19" t="str">
        <f t="array" ref="B51">6860&amp;" - "&amp;"Møte, kurs, oppdatering etc"</f>
        <v>6860 - Møte, kurs, oppdatering etc</v>
      </c>
      <c r="C51" s="2"/>
      <c r="D51" s="2"/>
      <c r="E51" s="2"/>
      <c r="F51" s="2"/>
      <c r="G51" s="2"/>
      <c r="H51" s="2">
        <v>2389.1999999999998</v>
      </c>
      <c r="I51" s="2"/>
      <c r="J51" s="2"/>
      <c r="K51" s="2"/>
      <c r="L51" s="2">
        <v>230.69</v>
      </c>
      <c r="M51" s="2">
        <v>538.9</v>
      </c>
      <c r="N51" s="2"/>
      <c r="O51" s="2">
        <v>3158.79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54">
        <f>2000+10000</f>
        <v>12000</v>
      </c>
      <c r="AC51" s="47">
        <f>1398+7272</f>
        <v>8670</v>
      </c>
      <c r="AD51" s="18">
        <v>8000</v>
      </c>
      <c r="AE51"/>
      <c r="AG51"/>
      <c r="AJ51"/>
    </row>
    <row r="52" spans="1:36" outlineLevel="1" x14ac:dyDescent="0.3">
      <c r="A52" s="115"/>
      <c r="B52" s="19" t="str">
        <f t="array" ref="B52">6890&amp;" - "&amp;"Annen kontorkostnader"</f>
        <v>6890 - Annen kontorkostnader</v>
      </c>
      <c r="C52" s="2">
        <v>1240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>
        <v>1240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54">
        <v>4900</v>
      </c>
      <c r="AC52" s="47"/>
      <c r="AD52" s="18">
        <v>2000</v>
      </c>
      <c r="AE52"/>
      <c r="AG52"/>
      <c r="AJ52"/>
    </row>
    <row r="53" spans="1:36" outlineLevel="1" x14ac:dyDescent="0.3">
      <c r="A53" s="115"/>
      <c r="B53" s="19" t="str">
        <f t="array" ref="B53">6900&amp;" - "&amp;"Internett"</f>
        <v>6900 - Internett</v>
      </c>
      <c r="C53" s="2">
        <v>349</v>
      </c>
      <c r="D53" s="2">
        <v>349</v>
      </c>
      <c r="E53" s="2">
        <v>349</v>
      </c>
      <c r="F53" s="2">
        <v>349</v>
      </c>
      <c r="G53" s="2">
        <v>349</v>
      </c>
      <c r="H53" s="2">
        <v>349</v>
      </c>
      <c r="I53" s="2">
        <v>349</v>
      </c>
      <c r="J53" s="2">
        <v>349</v>
      </c>
      <c r="K53" s="2">
        <v>349</v>
      </c>
      <c r="L53" s="2">
        <v>349</v>
      </c>
      <c r="M53" s="2"/>
      <c r="N53" s="2">
        <v>349</v>
      </c>
      <c r="O53" s="2">
        <v>3839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54"/>
      <c r="AC53" s="47"/>
      <c r="AD53" s="18">
        <v>5000</v>
      </c>
      <c r="AE53"/>
      <c r="AG53"/>
      <c r="AJ53"/>
    </row>
    <row r="54" spans="1:36" outlineLevel="1" x14ac:dyDescent="0.3">
      <c r="A54" s="115"/>
      <c r="B54" s="19" t="s">
        <v>44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54">
        <v>1000</v>
      </c>
      <c r="AC54" s="47">
        <v>2315</v>
      </c>
      <c r="AD54" s="18"/>
      <c r="AE54"/>
      <c r="AG54"/>
      <c r="AJ54"/>
    </row>
    <row r="55" spans="1:36" outlineLevel="1" x14ac:dyDescent="0.3">
      <c r="A55" s="115"/>
      <c r="B55" s="19" t="s">
        <v>45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54">
        <f>130000+50000+265000+70000+30000</f>
        <v>545000</v>
      </c>
      <c r="AC55" s="47">
        <f>119292+50000+264323+113551+14338</f>
        <v>561504</v>
      </c>
      <c r="AD55" s="18"/>
      <c r="AE55"/>
      <c r="AG55"/>
      <c r="AJ55"/>
    </row>
    <row r="56" spans="1:36" outlineLevel="1" x14ac:dyDescent="0.3">
      <c r="A56" s="115"/>
      <c r="B56" s="16" t="s">
        <v>21</v>
      </c>
      <c r="C56" s="1">
        <f t="shared" ref="C56:AC56" si="10">SUM(C57:C60)</f>
        <v>1326.96</v>
      </c>
      <c r="D56" s="1">
        <f t="shared" si="10"/>
        <v>300</v>
      </c>
      <c r="E56" s="1">
        <f t="shared" si="10"/>
        <v>494.05999999999995</v>
      </c>
      <c r="F56" s="1">
        <f t="shared" si="10"/>
        <v>180.66</v>
      </c>
      <c r="G56" s="1">
        <f t="shared" si="10"/>
        <v>1180</v>
      </c>
      <c r="H56" s="1">
        <f t="shared" si="10"/>
        <v>1758.08</v>
      </c>
      <c r="I56" s="1">
        <f t="shared" si="10"/>
        <v>701.95999999999992</v>
      </c>
      <c r="J56" s="1">
        <f t="shared" si="10"/>
        <v>826.31</v>
      </c>
      <c r="K56" s="1">
        <f t="shared" si="10"/>
        <v>456.8</v>
      </c>
      <c r="L56" s="1">
        <f t="shared" si="10"/>
        <v>2226.6</v>
      </c>
      <c r="M56" s="1">
        <f t="shared" si="10"/>
        <v>0</v>
      </c>
      <c r="N56" s="1">
        <f t="shared" si="10"/>
        <v>76.7</v>
      </c>
      <c r="O56" s="1">
        <f t="shared" si="10"/>
        <v>9528.1299999999992</v>
      </c>
      <c r="P56" s="1">
        <f t="shared" si="10"/>
        <v>0</v>
      </c>
      <c r="Q56" s="1">
        <f t="shared" si="10"/>
        <v>0</v>
      </c>
      <c r="R56" s="1">
        <f t="shared" si="10"/>
        <v>0</v>
      </c>
      <c r="S56" s="1">
        <f t="shared" si="10"/>
        <v>0</v>
      </c>
      <c r="T56" s="1">
        <f t="shared" si="10"/>
        <v>0</v>
      </c>
      <c r="U56" s="1">
        <f t="shared" si="10"/>
        <v>0</v>
      </c>
      <c r="V56" s="1">
        <f t="shared" si="10"/>
        <v>0</v>
      </c>
      <c r="W56" s="1">
        <f t="shared" si="10"/>
        <v>0</v>
      </c>
      <c r="X56" s="1">
        <f t="shared" si="10"/>
        <v>0</v>
      </c>
      <c r="Y56" s="1">
        <f t="shared" si="10"/>
        <v>0</v>
      </c>
      <c r="Z56" s="1">
        <f t="shared" si="10"/>
        <v>0</v>
      </c>
      <c r="AA56" s="1">
        <f t="shared" si="10"/>
        <v>0</v>
      </c>
      <c r="AB56" s="45">
        <f t="shared" si="10"/>
        <v>0</v>
      </c>
      <c r="AC56" s="45">
        <f t="shared" si="10"/>
        <v>0</v>
      </c>
      <c r="AD56" s="1">
        <f t="shared" ref="AD56" si="11">SUM(AD57:AD60)</f>
        <v>1500</v>
      </c>
      <c r="AE56"/>
      <c r="AG56"/>
      <c r="AJ56"/>
    </row>
    <row r="57" spans="1:36" outlineLevel="1" x14ac:dyDescent="0.3">
      <c r="A57" s="115"/>
      <c r="B57" s="19" t="str">
        <f t="array" ref="B57">7100&amp;" - "&amp;"Bilgodtgjørelse"</f>
        <v>7100 - Bilgodtgjørelse</v>
      </c>
      <c r="C57" s="2"/>
      <c r="D57" s="2"/>
      <c r="E57" s="2">
        <v>95.66</v>
      </c>
      <c r="F57" s="2">
        <v>95.66</v>
      </c>
      <c r="G57" s="2"/>
      <c r="H57" s="2">
        <v>395.48</v>
      </c>
      <c r="I57" s="2">
        <v>95.66</v>
      </c>
      <c r="J57" s="2">
        <v>315.20999999999998</v>
      </c>
      <c r="K57" s="2"/>
      <c r="L57" s="2">
        <v>191.1</v>
      </c>
      <c r="M57" s="2"/>
      <c r="N57" s="2"/>
      <c r="O57" s="2">
        <v>1188.77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54"/>
      <c r="AC57" s="47"/>
      <c r="AD57" s="18">
        <v>1500</v>
      </c>
      <c r="AE57"/>
      <c r="AG57"/>
      <c r="AJ57"/>
    </row>
    <row r="58" spans="1:36" outlineLevel="1" x14ac:dyDescent="0.3">
      <c r="A58" s="115"/>
      <c r="B58" s="19" t="str">
        <f t="array" ref="B58">7140&amp;" - "&amp;"Reisekostnad, ikke oppgavepliktig"</f>
        <v>7140 - Reisekostnad, ikke oppgavepliktig</v>
      </c>
      <c r="C58" s="2"/>
      <c r="D58" s="2"/>
      <c r="E58" s="2">
        <v>85</v>
      </c>
      <c r="F58" s="2">
        <v>85</v>
      </c>
      <c r="G58" s="2"/>
      <c r="H58" s="2">
        <v>178</v>
      </c>
      <c r="I58" s="2">
        <v>85</v>
      </c>
      <c r="J58" s="2">
        <v>193</v>
      </c>
      <c r="K58" s="2"/>
      <c r="L58" s="2">
        <v>56</v>
      </c>
      <c r="M58" s="2"/>
      <c r="N58" s="2"/>
      <c r="O58" s="2">
        <v>682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54"/>
      <c r="AC58" s="47"/>
      <c r="AD58" s="18"/>
      <c r="AE58"/>
      <c r="AG58"/>
      <c r="AJ58"/>
    </row>
    <row r="59" spans="1:36" outlineLevel="1" x14ac:dyDescent="0.3">
      <c r="A59" s="115"/>
      <c r="B59" s="19" t="str">
        <f t="array" ref="B59">7145&amp;" - "&amp;"Andre reisekostnader"</f>
        <v>7145 - Andre reisekostnader</v>
      </c>
      <c r="C59" s="2"/>
      <c r="D59" s="2">
        <v>300</v>
      </c>
      <c r="E59" s="2"/>
      <c r="F59" s="2"/>
      <c r="G59" s="2"/>
      <c r="H59" s="2"/>
      <c r="I59" s="2"/>
      <c r="J59" s="2"/>
      <c r="K59" s="2"/>
      <c r="L59" s="2">
        <v>50</v>
      </c>
      <c r="M59" s="2"/>
      <c r="N59" s="2"/>
      <c r="O59" s="2">
        <v>350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54"/>
      <c r="AC59" s="47"/>
      <c r="AD59" s="18"/>
      <c r="AE59"/>
      <c r="AG59"/>
      <c r="AJ59"/>
    </row>
    <row r="60" spans="1:36" outlineLevel="1" x14ac:dyDescent="0.3">
      <c r="A60" s="115">
        <v>9</v>
      </c>
      <c r="B60" s="19" t="str">
        <f t="array" ref="B60">7162&amp;" - "&amp;"Bevertning/mat"</f>
        <v>7162 - Bevertning/mat</v>
      </c>
      <c r="C60" s="2">
        <v>1326.96</v>
      </c>
      <c r="D60" s="2"/>
      <c r="E60" s="2">
        <v>313.39999999999998</v>
      </c>
      <c r="F60" s="2"/>
      <c r="G60" s="2">
        <v>1180</v>
      </c>
      <c r="H60" s="2">
        <v>1184.5999999999999</v>
      </c>
      <c r="I60" s="2">
        <v>521.29999999999995</v>
      </c>
      <c r="J60" s="2">
        <v>318.10000000000002</v>
      </c>
      <c r="K60" s="2">
        <v>456.8</v>
      </c>
      <c r="L60" s="2">
        <v>1929.5</v>
      </c>
      <c r="M60" s="2"/>
      <c r="N60" s="2">
        <v>76.7</v>
      </c>
      <c r="O60" s="2">
        <v>7307.36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54"/>
      <c r="AC60" s="47"/>
      <c r="AD60" s="18"/>
      <c r="AE60"/>
      <c r="AG60"/>
      <c r="AJ60"/>
    </row>
    <row r="61" spans="1:36" x14ac:dyDescent="0.3">
      <c r="A61" s="115"/>
      <c r="B61" s="16" t="s">
        <v>15</v>
      </c>
      <c r="C61" s="1">
        <f t="shared" ref="C61:AD61" si="12">SUM(0)</f>
        <v>0</v>
      </c>
      <c r="D61" s="1">
        <f t="shared" si="12"/>
        <v>0</v>
      </c>
      <c r="E61" s="1">
        <f t="shared" si="12"/>
        <v>0</v>
      </c>
      <c r="F61" s="1">
        <f t="shared" si="12"/>
        <v>0</v>
      </c>
      <c r="G61" s="1">
        <f t="shared" si="12"/>
        <v>0</v>
      </c>
      <c r="H61" s="1">
        <f t="shared" si="12"/>
        <v>0</v>
      </c>
      <c r="I61" s="1">
        <f t="shared" si="12"/>
        <v>0</v>
      </c>
      <c r="J61" s="1">
        <f t="shared" si="12"/>
        <v>0</v>
      </c>
      <c r="K61" s="1">
        <f t="shared" si="12"/>
        <v>0</v>
      </c>
      <c r="L61" s="1">
        <f t="shared" si="12"/>
        <v>0</v>
      </c>
      <c r="M61" s="1">
        <f t="shared" si="12"/>
        <v>0</v>
      </c>
      <c r="N61" s="1">
        <f t="shared" si="12"/>
        <v>0</v>
      </c>
      <c r="O61" s="1">
        <f t="shared" si="12"/>
        <v>0</v>
      </c>
      <c r="P61" s="1">
        <f t="shared" si="12"/>
        <v>0</v>
      </c>
      <c r="Q61" s="1">
        <f t="shared" si="12"/>
        <v>0</v>
      </c>
      <c r="R61" s="1">
        <f t="shared" si="12"/>
        <v>0</v>
      </c>
      <c r="S61" s="1">
        <f t="shared" si="12"/>
        <v>0</v>
      </c>
      <c r="T61" s="1">
        <f t="shared" si="12"/>
        <v>0</v>
      </c>
      <c r="U61" s="1">
        <f t="shared" si="12"/>
        <v>0</v>
      </c>
      <c r="V61" s="1">
        <f t="shared" si="12"/>
        <v>0</v>
      </c>
      <c r="W61" s="1">
        <f t="shared" si="12"/>
        <v>0</v>
      </c>
      <c r="X61" s="1">
        <f t="shared" si="12"/>
        <v>0</v>
      </c>
      <c r="Y61" s="1">
        <f t="shared" si="12"/>
        <v>0</v>
      </c>
      <c r="Z61" s="1">
        <f t="shared" si="12"/>
        <v>0</v>
      </c>
      <c r="AA61" s="1">
        <f t="shared" si="12"/>
        <v>0</v>
      </c>
      <c r="AB61" s="45">
        <f t="shared" si="12"/>
        <v>0</v>
      </c>
      <c r="AC61" s="45">
        <f t="shared" si="12"/>
        <v>0</v>
      </c>
      <c r="AD61" s="1">
        <f t="shared" si="12"/>
        <v>0</v>
      </c>
      <c r="AE61"/>
      <c r="AG61"/>
      <c r="AJ61"/>
    </row>
    <row r="62" spans="1:36" outlineLevel="1" x14ac:dyDescent="0.3">
      <c r="A62" s="115"/>
      <c r="B62" s="16" t="s">
        <v>16</v>
      </c>
      <c r="C62" s="1">
        <f t="shared" ref="C62:AD62" si="13">SUM(C63)</f>
        <v>0</v>
      </c>
      <c r="D62" s="1">
        <f t="shared" si="13"/>
        <v>0</v>
      </c>
      <c r="E62" s="1">
        <f t="shared" si="13"/>
        <v>2000</v>
      </c>
      <c r="F62" s="1">
        <f t="shared" si="13"/>
        <v>0</v>
      </c>
      <c r="G62" s="1">
        <f t="shared" si="13"/>
        <v>0</v>
      </c>
      <c r="H62" s="1">
        <f t="shared" si="13"/>
        <v>0</v>
      </c>
      <c r="I62" s="1">
        <f t="shared" si="13"/>
        <v>4375</v>
      </c>
      <c r="J62" s="1">
        <f t="shared" si="13"/>
        <v>0</v>
      </c>
      <c r="K62" s="1">
        <f t="shared" si="13"/>
        <v>625</v>
      </c>
      <c r="L62" s="1">
        <f t="shared" si="13"/>
        <v>0</v>
      </c>
      <c r="M62" s="1">
        <f t="shared" si="13"/>
        <v>0</v>
      </c>
      <c r="N62" s="1">
        <f t="shared" si="13"/>
        <v>563</v>
      </c>
      <c r="O62" s="1">
        <f t="shared" si="13"/>
        <v>7563</v>
      </c>
      <c r="P62" s="1">
        <f t="shared" si="13"/>
        <v>0</v>
      </c>
      <c r="Q62" s="1">
        <f t="shared" si="13"/>
        <v>0</v>
      </c>
      <c r="R62" s="1">
        <f t="shared" si="13"/>
        <v>0</v>
      </c>
      <c r="S62" s="1">
        <f t="shared" si="13"/>
        <v>0</v>
      </c>
      <c r="T62" s="1">
        <f t="shared" si="13"/>
        <v>0</v>
      </c>
      <c r="U62" s="1">
        <f t="shared" si="13"/>
        <v>0</v>
      </c>
      <c r="V62" s="1">
        <f t="shared" si="13"/>
        <v>0</v>
      </c>
      <c r="W62" s="1">
        <f t="shared" si="13"/>
        <v>0</v>
      </c>
      <c r="X62" s="1">
        <f t="shared" si="13"/>
        <v>0</v>
      </c>
      <c r="Y62" s="1">
        <f t="shared" si="13"/>
        <v>0</v>
      </c>
      <c r="Z62" s="1">
        <f t="shared" si="13"/>
        <v>0</v>
      </c>
      <c r="AA62" s="1">
        <f t="shared" si="13"/>
        <v>0</v>
      </c>
      <c r="AB62" s="45">
        <f t="shared" si="13"/>
        <v>8000</v>
      </c>
      <c r="AC62" s="45">
        <f t="shared" si="13"/>
        <v>7126</v>
      </c>
      <c r="AD62" s="1">
        <f t="shared" si="13"/>
        <v>8000</v>
      </c>
      <c r="AE62"/>
      <c r="AG62"/>
      <c r="AJ62"/>
    </row>
    <row r="63" spans="1:36" outlineLevel="1" x14ac:dyDescent="0.3">
      <c r="A63" s="115"/>
      <c r="B63" s="19" t="str">
        <f t="array" ref="B63">7320&amp;" - "&amp;"Reklame og annonser"</f>
        <v>7320 - Reklame og annonser</v>
      </c>
      <c r="C63" s="2"/>
      <c r="D63" s="2"/>
      <c r="E63" s="2">
        <v>2000</v>
      </c>
      <c r="F63" s="2"/>
      <c r="G63" s="2"/>
      <c r="H63" s="2"/>
      <c r="I63" s="2">
        <v>4375</v>
      </c>
      <c r="J63" s="2"/>
      <c r="K63" s="2">
        <v>625</v>
      </c>
      <c r="L63" s="2"/>
      <c r="M63" s="2"/>
      <c r="N63" s="2">
        <v>563</v>
      </c>
      <c r="O63" s="2">
        <v>7563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54">
        <v>8000</v>
      </c>
      <c r="AC63" s="47">
        <v>7126</v>
      </c>
      <c r="AD63" s="18">
        <v>8000</v>
      </c>
      <c r="AE63"/>
      <c r="AG63"/>
      <c r="AJ63"/>
    </row>
    <row r="64" spans="1:36" outlineLevel="1" x14ac:dyDescent="0.3">
      <c r="A64" s="115"/>
      <c r="B64" s="16" t="s">
        <v>17</v>
      </c>
      <c r="C64" s="1">
        <f t="shared" ref="C64:AD64" si="14">SUM(C65)</f>
        <v>285</v>
      </c>
      <c r="D64" s="1">
        <f t="shared" si="14"/>
        <v>0</v>
      </c>
      <c r="E64" s="1">
        <f t="shared" si="14"/>
        <v>1261.4000000000001</v>
      </c>
      <c r="F64" s="1">
        <f t="shared" si="14"/>
        <v>0</v>
      </c>
      <c r="G64" s="1">
        <f t="shared" si="14"/>
        <v>0</v>
      </c>
      <c r="H64" s="1">
        <f t="shared" si="14"/>
        <v>2417</v>
      </c>
      <c r="I64" s="1">
        <f t="shared" si="14"/>
        <v>0</v>
      </c>
      <c r="J64" s="1">
        <f t="shared" si="14"/>
        <v>0</v>
      </c>
      <c r="K64" s="1">
        <f t="shared" si="14"/>
        <v>0</v>
      </c>
      <c r="L64" s="1">
        <f t="shared" si="14"/>
        <v>0</v>
      </c>
      <c r="M64" s="1">
        <f t="shared" si="14"/>
        <v>0</v>
      </c>
      <c r="N64" s="1">
        <f t="shared" si="14"/>
        <v>0</v>
      </c>
      <c r="O64" s="1">
        <f t="shared" si="14"/>
        <v>3963.4</v>
      </c>
      <c r="P64" s="1">
        <f t="shared" si="14"/>
        <v>0</v>
      </c>
      <c r="Q64" s="1">
        <f t="shared" si="14"/>
        <v>0</v>
      </c>
      <c r="R64" s="1">
        <f t="shared" si="14"/>
        <v>0</v>
      </c>
      <c r="S64" s="1">
        <f t="shared" si="14"/>
        <v>0</v>
      </c>
      <c r="T64" s="1">
        <f t="shared" si="14"/>
        <v>0</v>
      </c>
      <c r="U64" s="1">
        <f t="shared" si="14"/>
        <v>0</v>
      </c>
      <c r="V64" s="1">
        <f t="shared" si="14"/>
        <v>0</v>
      </c>
      <c r="W64" s="1">
        <f t="shared" si="14"/>
        <v>0</v>
      </c>
      <c r="X64" s="1">
        <f t="shared" si="14"/>
        <v>0</v>
      </c>
      <c r="Y64" s="1">
        <f t="shared" si="14"/>
        <v>0</v>
      </c>
      <c r="Z64" s="1">
        <f t="shared" si="14"/>
        <v>0</v>
      </c>
      <c r="AA64" s="1">
        <f t="shared" si="14"/>
        <v>0</v>
      </c>
      <c r="AB64" s="45">
        <f t="shared" si="14"/>
        <v>2000</v>
      </c>
      <c r="AC64" s="45">
        <f t="shared" si="14"/>
        <v>0</v>
      </c>
      <c r="AD64" s="1">
        <f t="shared" si="14"/>
        <v>2000</v>
      </c>
      <c r="AE64"/>
      <c r="AG64"/>
      <c r="AJ64"/>
    </row>
    <row r="65" spans="1:36" outlineLevel="1" x14ac:dyDescent="0.3">
      <c r="A65" s="115">
        <v>10</v>
      </c>
      <c r="B65" s="19" t="str">
        <f t="array" ref="B65">7420&amp;" - "&amp;"Gaver og premier"</f>
        <v>7420 - Gaver og premier</v>
      </c>
      <c r="C65" s="2">
        <v>285</v>
      </c>
      <c r="D65" s="2"/>
      <c r="E65" s="2">
        <v>1261.4000000000001</v>
      </c>
      <c r="F65" s="2"/>
      <c r="G65" s="2"/>
      <c r="H65" s="2">
        <v>2417</v>
      </c>
      <c r="I65" s="2"/>
      <c r="J65" s="2"/>
      <c r="K65" s="2"/>
      <c r="L65" s="2"/>
      <c r="M65" s="2"/>
      <c r="N65" s="2"/>
      <c r="O65" s="2">
        <v>3963.4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54">
        <v>2000</v>
      </c>
      <c r="AC65" s="47"/>
      <c r="AD65" s="18">
        <v>2000</v>
      </c>
      <c r="AE65"/>
      <c r="AG65"/>
      <c r="AJ65"/>
    </row>
    <row r="66" spans="1:36" x14ac:dyDescent="0.3">
      <c r="A66" s="115"/>
      <c r="B66" s="16" t="s">
        <v>5</v>
      </c>
      <c r="C66" s="1">
        <f t="shared" ref="C66:AD66" si="15">SUM(0)</f>
        <v>0</v>
      </c>
      <c r="D66" s="1">
        <f t="shared" si="15"/>
        <v>0</v>
      </c>
      <c r="E66" s="1">
        <f t="shared" si="15"/>
        <v>0</v>
      </c>
      <c r="F66" s="1">
        <f t="shared" si="15"/>
        <v>0</v>
      </c>
      <c r="G66" s="1">
        <f t="shared" si="15"/>
        <v>0</v>
      </c>
      <c r="H66" s="1">
        <f t="shared" si="15"/>
        <v>0</v>
      </c>
      <c r="I66" s="1">
        <f t="shared" si="15"/>
        <v>0</v>
      </c>
      <c r="J66" s="1">
        <f t="shared" si="15"/>
        <v>0</v>
      </c>
      <c r="K66" s="1">
        <f t="shared" si="15"/>
        <v>0</v>
      </c>
      <c r="L66" s="1">
        <f t="shared" si="15"/>
        <v>0</v>
      </c>
      <c r="M66" s="1">
        <f t="shared" si="15"/>
        <v>0</v>
      </c>
      <c r="N66" s="1">
        <f t="shared" si="15"/>
        <v>0</v>
      </c>
      <c r="O66" s="1">
        <f t="shared" si="15"/>
        <v>0</v>
      </c>
      <c r="P66" s="1">
        <f t="shared" si="15"/>
        <v>0</v>
      </c>
      <c r="Q66" s="1">
        <f t="shared" si="15"/>
        <v>0</v>
      </c>
      <c r="R66" s="1">
        <f t="shared" si="15"/>
        <v>0</v>
      </c>
      <c r="S66" s="1">
        <f t="shared" si="15"/>
        <v>0</v>
      </c>
      <c r="T66" s="1">
        <f t="shared" si="15"/>
        <v>0</v>
      </c>
      <c r="U66" s="1">
        <f t="shared" si="15"/>
        <v>0</v>
      </c>
      <c r="V66" s="1">
        <f t="shared" si="15"/>
        <v>0</v>
      </c>
      <c r="W66" s="1">
        <f t="shared" si="15"/>
        <v>0</v>
      </c>
      <c r="X66" s="1">
        <f t="shared" si="15"/>
        <v>0</v>
      </c>
      <c r="Y66" s="1">
        <f t="shared" si="15"/>
        <v>0</v>
      </c>
      <c r="Z66" s="1">
        <f t="shared" si="15"/>
        <v>0</v>
      </c>
      <c r="AA66" s="1">
        <f t="shared" si="15"/>
        <v>0</v>
      </c>
      <c r="AB66" s="45">
        <f t="shared" si="15"/>
        <v>0</v>
      </c>
      <c r="AC66" s="45">
        <f t="shared" si="15"/>
        <v>0</v>
      </c>
      <c r="AD66" s="1">
        <f t="shared" si="15"/>
        <v>0</v>
      </c>
      <c r="AE66"/>
      <c r="AG66"/>
      <c r="AJ66"/>
    </row>
    <row r="67" spans="1:36" x14ac:dyDescent="0.3">
      <c r="A67" s="115"/>
      <c r="B67" s="16" t="s">
        <v>9</v>
      </c>
      <c r="C67" s="1">
        <f t="shared" ref="C67:AD67" si="16">SUM(C68:C70)</f>
        <v>35276.04</v>
      </c>
      <c r="D67" s="1">
        <f t="shared" si="16"/>
        <v>1721.42</v>
      </c>
      <c r="E67" s="1">
        <f t="shared" si="16"/>
        <v>1100.5</v>
      </c>
      <c r="F67" s="1">
        <f t="shared" si="16"/>
        <v>921.48</v>
      </c>
      <c r="G67" s="1">
        <f t="shared" si="16"/>
        <v>497.48</v>
      </c>
      <c r="H67" s="1">
        <f t="shared" si="16"/>
        <v>1095.05</v>
      </c>
      <c r="I67" s="1">
        <f t="shared" si="16"/>
        <v>1120</v>
      </c>
      <c r="J67" s="1">
        <f t="shared" si="16"/>
        <v>4243.5</v>
      </c>
      <c r="K67" s="1">
        <f t="shared" si="16"/>
        <v>-2069.5</v>
      </c>
      <c r="L67" s="1">
        <f t="shared" si="16"/>
        <v>1292.25</v>
      </c>
      <c r="M67" s="1">
        <f t="shared" si="16"/>
        <v>2246.1999999999998</v>
      </c>
      <c r="N67" s="1">
        <f t="shared" si="16"/>
        <v>14736.5</v>
      </c>
      <c r="O67" s="1">
        <f t="shared" si="16"/>
        <v>62180.92</v>
      </c>
      <c r="P67" s="1">
        <f t="shared" si="16"/>
        <v>0</v>
      </c>
      <c r="Q67" s="1">
        <f t="shared" si="16"/>
        <v>0</v>
      </c>
      <c r="R67" s="1">
        <f t="shared" si="16"/>
        <v>0</v>
      </c>
      <c r="S67" s="1">
        <f t="shared" si="16"/>
        <v>0</v>
      </c>
      <c r="T67" s="1">
        <f t="shared" si="16"/>
        <v>0</v>
      </c>
      <c r="U67" s="1">
        <f t="shared" si="16"/>
        <v>0</v>
      </c>
      <c r="V67" s="1">
        <f t="shared" si="16"/>
        <v>0</v>
      </c>
      <c r="W67" s="1">
        <f t="shared" si="16"/>
        <v>0</v>
      </c>
      <c r="X67" s="1">
        <f t="shared" si="16"/>
        <v>0</v>
      </c>
      <c r="Y67" s="1">
        <f t="shared" si="16"/>
        <v>0</v>
      </c>
      <c r="Z67" s="1">
        <f t="shared" si="16"/>
        <v>0</v>
      </c>
      <c r="AA67" s="1">
        <f t="shared" si="16"/>
        <v>0</v>
      </c>
      <c r="AB67" s="45">
        <f t="shared" si="16"/>
        <v>52000</v>
      </c>
      <c r="AC67" s="45">
        <f t="shared" si="16"/>
        <v>32863</v>
      </c>
      <c r="AD67" s="1">
        <f t="shared" si="16"/>
        <v>45000</v>
      </c>
      <c r="AE67"/>
      <c r="AG67"/>
      <c r="AJ67"/>
    </row>
    <row r="68" spans="1:36" outlineLevel="1" x14ac:dyDescent="0.3">
      <c r="A68" s="115"/>
      <c r="B68" s="19" t="str">
        <f t="array" ref="B68">7500&amp;" - "&amp;"Forsikringspremier"</f>
        <v>7500 - Forsikringspremier</v>
      </c>
      <c r="C68" s="2">
        <v>32564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>
        <v>32564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54">
        <v>37000</v>
      </c>
      <c r="AC68" s="47">
        <v>32863</v>
      </c>
      <c r="AD68" s="18">
        <v>35000</v>
      </c>
      <c r="AE68"/>
      <c r="AG68"/>
      <c r="AJ68"/>
    </row>
    <row r="69" spans="1:36" x14ac:dyDescent="0.3">
      <c r="A69" s="115"/>
      <c r="B69" s="19" t="str">
        <f t="array" ref="B69">7770&amp;" - "&amp;"Bank og kortgebyrer"</f>
        <v>7770 - Bank og kortgebyrer</v>
      </c>
      <c r="C69" s="2">
        <v>2712.04</v>
      </c>
      <c r="D69" s="2">
        <v>1721.42</v>
      </c>
      <c r="E69" s="2">
        <v>1100.5</v>
      </c>
      <c r="F69" s="2">
        <v>921.48</v>
      </c>
      <c r="G69" s="2">
        <v>497.48</v>
      </c>
      <c r="H69" s="2">
        <v>722.05</v>
      </c>
      <c r="I69" s="2">
        <v>1120</v>
      </c>
      <c r="J69" s="2">
        <v>4243.5</v>
      </c>
      <c r="K69" s="2">
        <v>-2069.5</v>
      </c>
      <c r="L69" s="2">
        <v>1292.25</v>
      </c>
      <c r="M69" s="2">
        <v>922.5</v>
      </c>
      <c r="N69" s="2">
        <v>686.5</v>
      </c>
      <c r="O69" s="2">
        <v>13870.22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54"/>
      <c r="AC69" s="47"/>
      <c r="AD69" s="18">
        <v>5000</v>
      </c>
      <c r="AE69"/>
      <c r="AG69"/>
      <c r="AJ69"/>
    </row>
    <row r="70" spans="1:36" outlineLevel="1" x14ac:dyDescent="0.3">
      <c r="A70" s="115">
        <v>11</v>
      </c>
      <c r="B70" s="19" t="str">
        <f t="array" ref="B70">7790&amp;" - "&amp;"Diverse kostnader"</f>
        <v>7790 - Diverse kostnader</v>
      </c>
      <c r="C70" s="2"/>
      <c r="D70" s="2"/>
      <c r="E70" s="2"/>
      <c r="F70" s="2"/>
      <c r="G70" s="2"/>
      <c r="H70" s="2">
        <v>373</v>
      </c>
      <c r="I70" s="2"/>
      <c r="J70" s="2"/>
      <c r="K70" s="2"/>
      <c r="L70" s="2"/>
      <c r="M70" s="2">
        <v>1323.7</v>
      </c>
      <c r="N70" s="2">
        <v>14050</v>
      </c>
      <c r="O70" s="2">
        <v>15746.7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54">
        <v>15000</v>
      </c>
      <c r="AC70" s="47"/>
      <c r="AD70" s="18">
        <v>5000</v>
      </c>
      <c r="AE70"/>
      <c r="AG70"/>
      <c r="AJ70"/>
    </row>
    <row r="71" spans="1:36" x14ac:dyDescent="0.3">
      <c r="A71" s="115"/>
      <c r="B71" s="25" t="s">
        <v>3</v>
      </c>
      <c r="C71" s="6">
        <f t="shared" ref="C71:AD71" si="17">C67+C66+C64+C62+C61+C56+C36+C32+C30</f>
        <v>83582.700000000012</v>
      </c>
      <c r="D71" s="6">
        <f t="shared" si="17"/>
        <v>8904.82</v>
      </c>
      <c r="E71" s="6">
        <f t="shared" si="17"/>
        <v>89893.37</v>
      </c>
      <c r="F71" s="6">
        <f t="shared" si="17"/>
        <v>7256.9700000000012</v>
      </c>
      <c r="G71" s="6">
        <f t="shared" si="17"/>
        <v>22525.68</v>
      </c>
      <c r="H71" s="6">
        <f t="shared" si="17"/>
        <v>27212.960000000003</v>
      </c>
      <c r="I71" s="6">
        <f t="shared" si="17"/>
        <v>187105</v>
      </c>
      <c r="J71" s="6">
        <f t="shared" si="17"/>
        <v>63334.21</v>
      </c>
      <c r="K71" s="6">
        <f t="shared" si="17"/>
        <v>88824.62</v>
      </c>
      <c r="L71" s="6">
        <f t="shared" si="17"/>
        <v>11837.83</v>
      </c>
      <c r="M71" s="6">
        <f t="shared" si="17"/>
        <v>15968.990000000002</v>
      </c>
      <c r="N71" s="6">
        <f t="shared" si="17"/>
        <v>48788.67</v>
      </c>
      <c r="O71" s="6">
        <f t="shared" si="17"/>
        <v>655235.81999999995</v>
      </c>
      <c r="P71" s="6">
        <f t="shared" si="17"/>
        <v>0</v>
      </c>
      <c r="Q71" s="6">
        <f t="shared" si="17"/>
        <v>0</v>
      </c>
      <c r="R71" s="6">
        <f t="shared" si="17"/>
        <v>0</v>
      </c>
      <c r="S71" s="6">
        <f t="shared" si="17"/>
        <v>0</v>
      </c>
      <c r="T71" s="6">
        <f t="shared" si="17"/>
        <v>0</v>
      </c>
      <c r="U71" s="6">
        <f t="shared" si="17"/>
        <v>0</v>
      </c>
      <c r="V71" s="6">
        <f t="shared" si="17"/>
        <v>0</v>
      </c>
      <c r="W71" s="6">
        <f t="shared" si="17"/>
        <v>0</v>
      </c>
      <c r="X71" s="6">
        <f t="shared" si="17"/>
        <v>0</v>
      </c>
      <c r="Y71" s="6">
        <f t="shared" si="17"/>
        <v>0</v>
      </c>
      <c r="Z71" s="6">
        <f t="shared" si="17"/>
        <v>0</v>
      </c>
      <c r="AA71" s="6">
        <f t="shared" si="17"/>
        <v>0</v>
      </c>
      <c r="AB71" s="48">
        <f t="shared" si="17"/>
        <v>899650</v>
      </c>
      <c r="AC71" s="48">
        <f t="shared" si="17"/>
        <v>1097677</v>
      </c>
      <c r="AD71" s="6">
        <f t="shared" si="17"/>
        <v>265450</v>
      </c>
      <c r="AE71"/>
      <c r="AG71"/>
      <c r="AJ71"/>
    </row>
    <row r="72" spans="1:36" x14ac:dyDescent="0.3">
      <c r="A72" s="115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/>
      <c r="AG72"/>
      <c r="AJ72"/>
    </row>
    <row r="73" spans="1:36" x14ac:dyDescent="0.3">
      <c r="A73" s="115"/>
      <c r="B73" s="117" t="s">
        <v>124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>
        <f>SUM(O74:O75)</f>
        <v>11080</v>
      </c>
      <c r="P73" s="118">
        <f t="shared" ref="P73:AD73" si="18">P74+P75</f>
        <v>0</v>
      </c>
      <c r="Q73" s="118">
        <f t="shared" si="18"/>
        <v>0</v>
      </c>
      <c r="R73" s="118">
        <f t="shared" si="18"/>
        <v>0</v>
      </c>
      <c r="S73" s="118">
        <f t="shared" si="18"/>
        <v>0</v>
      </c>
      <c r="T73" s="118">
        <f t="shared" si="18"/>
        <v>0</v>
      </c>
      <c r="U73" s="118">
        <f t="shared" si="18"/>
        <v>0</v>
      </c>
      <c r="V73" s="118">
        <f t="shared" si="18"/>
        <v>0</v>
      </c>
      <c r="W73" s="118">
        <f t="shared" si="18"/>
        <v>0</v>
      </c>
      <c r="X73" s="118">
        <f t="shared" si="18"/>
        <v>0</v>
      </c>
      <c r="Y73" s="118">
        <f t="shared" si="18"/>
        <v>0</v>
      </c>
      <c r="Z73" s="118">
        <f t="shared" si="18"/>
        <v>0</v>
      </c>
      <c r="AA73" s="118">
        <f t="shared" si="18"/>
        <v>0</v>
      </c>
      <c r="AB73" s="118">
        <f t="shared" si="18"/>
        <v>0</v>
      </c>
      <c r="AC73" s="118">
        <f t="shared" si="18"/>
        <v>0</v>
      </c>
      <c r="AD73" s="118">
        <f t="shared" si="18"/>
        <v>0</v>
      </c>
      <c r="AE73"/>
      <c r="AG73"/>
      <c r="AJ73"/>
    </row>
    <row r="74" spans="1:36" outlineLevel="1" x14ac:dyDescent="0.3">
      <c r="A74" s="115"/>
      <c r="B74" s="4" t="s">
        <v>122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>
        <v>-1400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55"/>
      <c r="AC74" s="22"/>
      <c r="AD74" s="22"/>
      <c r="AE74"/>
      <c r="AG74"/>
      <c r="AJ74"/>
    </row>
    <row r="75" spans="1:36" outlineLevel="1" x14ac:dyDescent="0.3">
      <c r="A75" s="115"/>
      <c r="B75" t="s">
        <v>123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>
        <v>12480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55"/>
      <c r="AC75" s="22"/>
      <c r="AD75" s="22"/>
      <c r="AE75"/>
      <c r="AG75"/>
      <c r="AJ75"/>
    </row>
    <row r="76" spans="1:36" outlineLevel="1" x14ac:dyDescent="0.3">
      <c r="A76" s="115"/>
      <c r="B76" s="16" t="s">
        <v>20</v>
      </c>
      <c r="C76" s="1">
        <f t="shared" ref="C76:AD76" si="19">SUM(C77)</f>
        <v>0</v>
      </c>
      <c r="D76" s="1">
        <f t="shared" si="19"/>
        <v>0</v>
      </c>
      <c r="E76" s="1">
        <f t="shared" si="19"/>
        <v>0</v>
      </c>
      <c r="F76" s="1">
        <f t="shared" si="19"/>
        <v>0</v>
      </c>
      <c r="G76" s="1">
        <f t="shared" si="19"/>
        <v>0</v>
      </c>
      <c r="H76" s="1">
        <f t="shared" si="19"/>
        <v>0</v>
      </c>
      <c r="I76" s="1">
        <f t="shared" si="19"/>
        <v>0</v>
      </c>
      <c r="J76" s="1">
        <f t="shared" si="19"/>
        <v>0</v>
      </c>
      <c r="K76" s="1">
        <f t="shared" si="19"/>
        <v>0</v>
      </c>
      <c r="L76" s="1">
        <f t="shared" si="19"/>
        <v>0</v>
      </c>
      <c r="M76" s="1">
        <f t="shared" si="19"/>
        <v>0</v>
      </c>
      <c r="N76" s="1">
        <f t="shared" si="19"/>
        <v>-2516.87</v>
      </c>
      <c r="O76" s="1">
        <f t="shared" si="19"/>
        <v>-2516.87</v>
      </c>
      <c r="P76" s="1">
        <f t="shared" si="19"/>
        <v>0</v>
      </c>
      <c r="Q76" s="1">
        <f t="shared" si="19"/>
        <v>0</v>
      </c>
      <c r="R76" s="1">
        <f t="shared" si="19"/>
        <v>0</v>
      </c>
      <c r="S76" s="1">
        <f t="shared" si="19"/>
        <v>0</v>
      </c>
      <c r="T76" s="1">
        <f t="shared" si="19"/>
        <v>0</v>
      </c>
      <c r="U76" s="1">
        <f t="shared" si="19"/>
        <v>0</v>
      </c>
      <c r="V76" s="1">
        <f t="shared" si="19"/>
        <v>0</v>
      </c>
      <c r="W76" s="1">
        <f t="shared" si="19"/>
        <v>0</v>
      </c>
      <c r="X76" s="1">
        <f t="shared" si="19"/>
        <v>0</v>
      </c>
      <c r="Y76" s="1">
        <f t="shared" si="19"/>
        <v>0</v>
      </c>
      <c r="Z76" s="1">
        <f t="shared" si="19"/>
        <v>0</v>
      </c>
      <c r="AA76" s="1">
        <f t="shared" si="19"/>
        <v>0</v>
      </c>
      <c r="AB76" s="45">
        <f t="shared" si="19"/>
        <v>0</v>
      </c>
      <c r="AC76" s="1">
        <f t="shared" si="19"/>
        <v>0</v>
      </c>
      <c r="AD76" s="1">
        <f t="shared" si="19"/>
        <v>0</v>
      </c>
      <c r="AE76"/>
      <c r="AG76"/>
      <c r="AJ76"/>
    </row>
    <row r="77" spans="1:36" x14ac:dyDescent="0.3">
      <c r="A77" s="115"/>
      <c r="B77" s="19" t="str">
        <f t="array" ref="B77">8050&amp;" - "&amp;"Annen renteinntekt"</f>
        <v>8050 - Annen renteinntekt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>
        <v>-2516.87</v>
      </c>
      <c r="O77" s="2">
        <v>-2516.87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54"/>
      <c r="AC77" s="18"/>
      <c r="AD77" s="18"/>
      <c r="AE77"/>
      <c r="AG77"/>
      <c r="AJ77"/>
    </row>
    <row r="78" spans="1:36" ht="16.2" thickBot="1" x14ac:dyDescent="0.35">
      <c r="A78" s="115"/>
      <c r="B78" s="31" t="s">
        <v>120</v>
      </c>
      <c r="C78" s="5">
        <f t="shared" ref="C78:N78" si="20">C76+C71+C26</f>
        <v>43982.700000000012</v>
      </c>
      <c r="D78" s="5">
        <f t="shared" si="20"/>
        <v>-13395.18</v>
      </c>
      <c r="E78" s="5">
        <f t="shared" si="20"/>
        <v>80902.37</v>
      </c>
      <c r="F78" s="5">
        <f t="shared" si="20"/>
        <v>5056.9700000000012</v>
      </c>
      <c r="G78" s="5">
        <f t="shared" si="20"/>
        <v>-17024.32</v>
      </c>
      <c r="H78" s="5">
        <f t="shared" si="20"/>
        <v>23432.960000000003</v>
      </c>
      <c r="I78" s="5">
        <f t="shared" si="20"/>
        <v>184705</v>
      </c>
      <c r="J78" s="5">
        <f t="shared" si="20"/>
        <v>-27037.79</v>
      </c>
      <c r="K78" s="5">
        <f t="shared" si="20"/>
        <v>90342.62</v>
      </c>
      <c r="L78" s="5">
        <f t="shared" si="20"/>
        <v>-665.23999999999978</v>
      </c>
      <c r="M78" s="5">
        <f t="shared" si="20"/>
        <v>-100496.01999999999</v>
      </c>
      <c r="N78" s="5">
        <f t="shared" si="20"/>
        <v>-128281.18</v>
      </c>
      <c r="O78" s="5">
        <f>O76+O71+O26+O73</f>
        <v>148978.88999999996</v>
      </c>
      <c r="P78" s="5">
        <f t="shared" ref="P78:AD78" si="21">P76+P71+P26</f>
        <v>0</v>
      </c>
      <c r="Q78" s="5">
        <f t="shared" si="21"/>
        <v>0</v>
      </c>
      <c r="R78" s="5">
        <f t="shared" si="21"/>
        <v>0</v>
      </c>
      <c r="S78" s="5">
        <f t="shared" si="21"/>
        <v>0</v>
      </c>
      <c r="T78" s="5">
        <f t="shared" si="21"/>
        <v>0</v>
      </c>
      <c r="U78" s="5">
        <f t="shared" si="21"/>
        <v>0</v>
      </c>
      <c r="V78" s="5">
        <f t="shared" si="21"/>
        <v>0</v>
      </c>
      <c r="W78" s="5">
        <f t="shared" si="21"/>
        <v>0</v>
      </c>
      <c r="X78" s="5">
        <f t="shared" si="21"/>
        <v>0</v>
      </c>
      <c r="Y78" s="5">
        <f t="shared" si="21"/>
        <v>0</v>
      </c>
      <c r="Z78" s="5">
        <f t="shared" si="21"/>
        <v>0</v>
      </c>
      <c r="AA78" s="5">
        <f t="shared" si="21"/>
        <v>0</v>
      </c>
      <c r="AB78" s="53">
        <f t="shared" si="21"/>
        <v>114650</v>
      </c>
      <c r="AC78" s="5">
        <f t="shared" si="21"/>
        <v>-225811</v>
      </c>
      <c r="AD78" s="5">
        <f t="shared" si="21"/>
        <v>23450</v>
      </c>
      <c r="AE78"/>
      <c r="AG78"/>
      <c r="AJ78"/>
    </row>
    <row r="79" spans="1:36" ht="15" thickTop="1" x14ac:dyDescent="0.3">
      <c r="AE79"/>
      <c r="AG79"/>
      <c r="AJ79"/>
    </row>
    <row r="80" spans="1:36" x14ac:dyDescent="0.3">
      <c r="AE80"/>
      <c r="AG80"/>
      <c r="AJ80"/>
    </row>
    <row r="81" spans="31:36" x14ac:dyDescent="0.3">
      <c r="AE81"/>
      <c r="AG81"/>
      <c r="AJ81"/>
    </row>
    <row r="82" spans="31:36" hidden="1" outlineLevel="1" x14ac:dyDescent="0.3">
      <c r="AE82"/>
      <c r="AG82"/>
      <c r="AJ82"/>
    </row>
    <row r="83" spans="31:36" collapsed="1" x14ac:dyDescent="0.3">
      <c r="AE83"/>
      <c r="AG83"/>
      <c r="AJ83"/>
    </row>
    <row r="84" spans="31:36" x14ac:dyDescent="0.3">
      <c r="AE84"/>
      <c r="AG84"/>
      <c r="AJ84"/>
    </row>
    <row r="85" spans="31:36" x14ac:dyDescent="0.3">
      <c r="AE85"/>
      <c r="AG85"/>
      <c r="AJ85"/>
    </row>
    <row r="86" spans="31:36" x14ac:dyDescent="0.3">
      <c r="AE86"/>
      <c r="AG86"/>
      <c r="AJ86"/>
    </row>
    <row r="87" spans="31:36" x14ac:dyDescent="0.3">
      <c r="AE87"/>
      <c r="AG87"/>
      <c r="AJ87"/>
    </row>
    <row r="88" spans="31:36" x14ac:dyDescent="0.3">
      <c r="AE88"/>
      <c r="AG88"/>
      <c r="AJ88"/>
    </row>
    <row r="89" spans="31:36" x14ac:dyDescent="0.3">
      <c r="AE89"/>
      <c r="AG89"/>
      <c r="AJ89"/>
    </row>
    <row r="90" spans="31:36" x14ac:dyDescent="0.3">
      <c r="AE90"/>
      <c r="AG90"/>
      <c r="AJ90"/>
    </row>
    <row r="91" spans="31:36" x14ac:dyDescent="0.3">
      <c r="AE91"/>
      <c r="AG91"/>
      <c r="AJ91"/>
    </row>
    <row r="92" spans="31:36" x14ac:dyDescent="0.3">
      <c r="AE92"/>
      <c r="AG92"/>
      <c r="AJ92"/>
    </row>
    <row r="93" spans="31:36" x14ac:dyDescent="0.3">
      <c r="AE93"/>
      <c r="AG93"/>
      <c r="AJ93"/>
    </row>
    <row r="94" spans="31:36" x14ac:dyDescent="0.3">
      <c r="AE94"/>
      <c r="AG94"/>
      <c r="AJ94"/>
    </row>
    <row r="95" spans="31:36" x14ac:dyDescent="0.3">
      <c r="AE95"/>
      <c r="AG95"/>
      <c r="AJ95"/>
    </row>
    <row r="96" spans="31:36" x14ac:dyDescent="0.3">
      <c r="AE96"/>
      <c r="AG96"/>
      <c r="AJ96"/>
    </row>
    <row r="97" spans="31:36" x14ac:dyDescent="0.3">
      <c r="AE97"/>
      <c r="AG97"/>
      <c r="AJ97"/>
    </row>
    <row r="98" spans="31:36" x14ac:dyDescent="0.3">
      <c r="AE98"/>
      <c r="AG98"/>
      <c r="AJ98"/>
    </row>
    <row r="99" spans="31:36" x14ac:dyDescent="0.3">
      <c r="AE99"/>
      <c r="AG99"/>
      <c r="AJ99"/>
    </row>
    <row r="100" spans="31:36" x14ac:dyDescent="0.3">
      <c r="AE100"/>
      <c r="AG100"/>
      <c r="AJ100"/>
    </row>
    <row r="101" spans="31:36" x14ac:dyDescent="0.3">
      <c r="AE101"/>
      <c r="AG101"/>
      <c r="AJ101"/>
    </row>
    <row r="102" spans="31:36" x14ac:dyDescent="0.3">
      <c r="AE102"/>
      <c r="AG102"/>
      <c r="AJ102"/>
    </row>
    <row r="103" spans="31:36" x14ac:dyDescent="0.3">
      <c r="AE103"/>
      <c r="AG103"/>
      <c r="AJ103"/>
    </row>
    <row r="104" spans="31:36" x14ac:dyDescent="0.3">
      <c r="AE104"/>
      <c r="AG104"/>
      <c r="AJ104"/>
    </row>
    <row r="105" spans="31:36" x14ac:dyDescent="0.3">
      <c r="AE105"/>
      <c r="AG105"/>
      <c r="AJ105"/>
    </row>
    <row r="106" spans="31:36" x14ac:dyDescent="0.3">
      <c r="AE106"/>
      <c r="AG106"/>
      <c r="AJ106"/>
    </row>
    <row r="107" spans="31:36" x14ac:dyDescent="0.3">
      <c r="AE107"/>
      <c r="AG107"/>
      <c r="AJ107"/>
    </row>
    <row r="108" spans="31:36" x14ac:dyDescent="0.3">
      <c r="AE108"/>
      <c r="AG108"/>
      <c r="AJ108"/>
    </row>
    <row r="109" spans="31:36" x14ac:dyDescent="0.3">
      <c r="AE109"/>
      <c r="AG109"/>
      <c r="AJ109"/>
    </row>
    <row r="110" spans="31:36" x14ac:dyDescent="0.3">
      <c r="AE110"/>
      <c r="AG110"/>
      <c r="AJ110"/>
    </row>
    <row r="111" spans="31:36" x14ac:dyDescent="0.3">
      <c r="AE111"/>
      <c r="AG111"/>
      <c r="AJ111"/>
    </row>
    <row r="112" spans="31:36" x14ac:dyDescent="0.3">
      <c r="AE112"/>
      <c r="AG112"/>
      <c r="AJ112"/>
    </row>
    <row r="113" spans="31:36" x14ac:dyDescent="0.3">
      <c r="AE113"/>
      <c r="AG113"/>
      <c r="AJ113"/>
    </row>
    <row r="114" spans="31:36" x14ac:dyDescent="0.3">
      <c r="AE114"/>
      <c r="AG114"/>
      <c r="AJ114"/>
    </row>
    <row r="115" spans="31:36" x14ac:dyDescent="0.3">
      <c r="AE115"/>
      <c r="AG115"/>
      <c r="AJ115"/>
    </row>
    <row r="116" spans="31:36" x14ac:dyDescent="0.3">
      <c r="AE116"/>
      <c r="AG116"/>
      <c r="AJ116"/>
    </row>
    <row r="117" spans="31:36" x14ac:dyDescent="0.3">
      <c r="AE117"/>
      <c r="AG117"/>
      <c r="AJ117"/>
    </row>
    <row r="118" spans="31:36" x14ac:dyDescent="0.3">
      <c r="AE118"/>
      <c r="AG118"/>
      <c r="AJ118"/>
    </row>
    <row r="119" spans="31:36" x14ac:dyDescent="0.3">
      <c r="AE119"/>
      <c r="AG119"/>
      <c r="AJ119"/>
    </row>
    <row r="120" spans="31:36" x14ac:dyDescent="0.3">
      <c r="AE120"/>
      <c r="AG120"/>
      <c r="AJ120"/>
    </row>
    <row r="121" spans="31:36" x14ac:dyDescent="0.3">
      <c r="AE121"/>
      <c r="AG121"/>
      <c r="AJ121"/>
    </row>
    <row r="122" spans="31:36" x14ac:dyDescent="0.3">
      <c r="AE122"/>
      <c r="AG122"/>
      <c r="AJ122"/>
    </row>
    <row r="123" spans="31:36" x14ac:dyDescent="0.3">
      <c r="AE123"/>
      <c r="AG123"/>
      <c r="AJ123"/>
    </row>
    <row r="124" spans="31:36" x14ac:dyDescent="0.3">
      <c r="AE124"/>
      <c r="AG124"/>
      <c r="AJ124"/>
    </row>
    <row r="125" spans="31:36" x14ac:dyDescent="0.3">
      <c r="AE125"/>
      <c r="AG125"/>
      <c r="AJ125"/>
    </row>
    <row r="126" spans="31:36" x14ac:dyDescent="0.3">
      <c r="AE126"/>
      <c r="AG126"/>
      <c r="AJ126"/>
    </row>
    <row r="127" spans="31:36" x14ac:dyDescent="0.3">
      <c r="AE127"/>
      <c r="AG127"/>
      <c r="AJ127"/>
    </row>
    <row r="128" spans="31:36" x14ac:dyDescent="0.3">
      <c r="AE128"/>
      <c r="AG128"/>
      <c r="AJ128"/>
    </row>
    <row r="129" spans="31:36" x14ac:dyDescent="0.3">
      <c r="AE129"/>
      <c r="AG129"/>
      <c r="AJ129"/>
    </row>
    <row r="130" spans="31:36" x14ac:dyDescent="0.3">
      <c r="AE130"/>
      <c r="AG130"/>
      <c r="AJ130"/>
    </row>
    <row r="131" spans="31:36" x14ac:dyDescent="0.3">
      <c r="AE131"/>
      <c r="AG131"/>
      <c r="AJ131"/>
    </row>
    <row r="132" spans="31:36" x14ac:dyDescent="0.3">
      <c r="AE132"/>
      <c r="AG132"/>
      <c r="AJ132"/>
    </row>
    <row r="133" spans="31:36" x14ac:dyDescent="0.3">
      <c r="AE133"/>
      <c r="AG133"/>
      <c r="AJ133"/>
    </row>
    <row r="134" spans="31:36" x14ac:dyDescent="0.3">
      <c r="AE134"/>
      <c r="AG134"/>
      <c r="AJ134"/>
    </row>
    <row r="135" spans="31:36" x14ac:dyDescent="0.3">
      <c r="AE135"/>
      <c r="AG135"/>
      <c r="AJ135"/>
    </row>
    <row r="136" spans="31:36" x14ac:dyDescent="0.3">
      <c r="AE136"/>
      <c r="AG136"/>
      <c r="AJ136"/>
    </row>
    <row r="137" spans="31:36" x14ac:dyDescent="0.3">
      <c r="AE137"/>
      <c r="AG137"/>
      <c r="AJ137"/>
    </row>
    <row r="138" spans="31:36" x14ac:dyDescent="0.3">
      <c r="AE138"/>
      <c r="AG138"/>
      <c r="AJ138"/>
    </row>
    <row r="139" spans="31:36" x14ac:dyDescent="0.3">
      <c r="AE139"/>
      <c r="AG139"/>
      <c r="AJ139"/>
    </row>
    <row r="140" spans="31:36" x14ac:dyDescent="0.3">
      <c r="AE140"/>
      <c r="AG140"/>
      <c r="AJ140"/>
    </row>
    <row r="141" spans="31:36" x14ac:dyDescent="0.3">
      <c r="AE141"/>
      <c r="AG141"/>
      <c r="AJ141"/>
    </row>
    <row r="142" spans="31:36" x14ac:dyDescent="0.3">
      <c r="AE142"/>
      <c r="AG142"/>
      <c r="AJ142"/>
    </row>
    <row r="143" spans="31:36" x14ac:dyDescent="0.3">
      <c r="AE143"/>
      <c r="AG143"/>
      <c r="AJ143"/>
    </row>
    <row r="144" spans="31:36" x14ac:dyDescent="0.3">
      <c r="AE144"/>
      <c r="AG144"/>
      <c r="AJ144"/>
    </row>
    <row r="145" spans="31:36" x14ac:dyDescent="0.3">
      <c r="AE145"/>
      <c r="AG145"/>
      <c r="AJ145"/>
    </row>
    <row r="146" spans="31:36" x14ac:dyDescent="0.3">
      <c r="AE146"/>
      <c r="AG146"/>
      <c r="AJ146"/>
    </row>
    <row r="147" spans="31:36" x14ac:dyDescent="0.3">
      <c r="AE147"/>
      <c r="AG147"/>
      <c r="AJ147"/>
    </row>
    <row r="148" spans="31:36" x14ac:dyDescent="0.3">
      <c r="AE148"/>
      <c r="AG148"/>
      <c r="AJ148"/>
    </row>
    <row r="149" spans="31:36" x14ac:dyDescent="0.3">
      <c r="AE149"/>
      <c r="AG149"/>
      <c r="AJ149"/>
    </row>
    <row r="150" spans="31:36" x14ac:dyDescent="0.3">
      <c r="AE150"/>
      <c r="AG150"/>
      <c r="AJ150"/>
    </row>
    <row r="151" spans="31:36" x14ac:dyDescent="0.3">
      <c r="AE151"/>
      <c r="AG151"/>
      <c r="AJ151"/>
    </row>
    <row r="152" spans="31:36" x14ac:dyDescent="0.3">
      <c r="AE152"/>
      <c r="AG152"/>
      <c r="AJ152"/>
    </row>
    <row r="153" spans="31:36" x14ac:dyDescent="0.3">
      <c r="AE153"/>
      <c r="AG153"/>
      <c r="AJ153"/>
    </row>
    <row r="154" spans="31:36" x14ac:dyDescent="0.3">
      <c r="AE154"/>
      <c r="AG154"/>
      <c r="AJ154"/>
    </row>
    <row r="155" spans="31:36" x14ac:dyDescent="0.3">
      <c r="AE155"/>
      <c r="AG155"/>
      <c r="AJ155"/>
    </row>
    <row r="156" spans="31:36" x14ac:dyDescent="0.3">
      <c r="AE156"/>
      <c r="AG156"/>
      <c r="AJ156"/>
    </row>
    <row r="157" spans="31:36" x14ac:dyDescent="0.3">
      <c r="AE157"/>
      <c r="AG157"/>
      <c r="AJ157"/>
    </row>
    <row r="158" spans="31:36" x14ac:dyDescent="0.3">
      <c r="AE158"/>
      <c r="AG158"/>
      <c r="AJ158"/>
    </row>
    <row r="159" spans="31:36" x14ac:dyDescent="0.3">
      <c r="AE159"/>
      <c r="AG159"/>
      <c r="AJ159"/>
    </row>
    <row r="160" spans="31:36" x14ac:dyDescent="0.3">
      <c r="AE160"/>
      <c r="AG160"/>
      <c r="AJ160"/>
    </row>
    <row r="161" spans="31:36" x14ac:dyDescent="0.3">
      <c r="AE161"/>
      <c r="AG161"/>
      <c r="AJ161"/>
    </row>
    <row r="162" spans="31:36" x14ac:dyDescent="0.3">
      <c r="AE162"/>
      <c r="AG162"/>
      <c r="AJ162"/>
    </row>
    <row r="163" spans="31:36" x14ac:dyDescent="0.3">
      <c r="AE163"/>
      <c r="AG163"/>
      <c r="AJ163"/>
    </row>
    <row r="164" spans="31:36" x14ac:dyDescent="0.3">
      <c r="AE164"/>
      <c r="AG164"/>
      <c r="AJ164"/>
    </row>
    <row r="165" spans="31:36" x14ac:dyDescent="0.3">
      <c r="AE165"/>
      <c r="AG165"/>
      <c r="AJ165"/>
    </row>
    <row r="166" spans="31:36" x14ac:dyDescent="0.3">
      <c r="AE166"/>
      <c r="AG166"/>
      <c r="AJ166"/>
    </row>
    <row r="167" spans="31:36" x14ac:dyDescent="0.3">
      <c r="AE167"/>
      <c r="AG167"/>
      <c r="AJ167"/>
    </row>
    <row r="168" spans="31:36" x14ac:dyDescent="0.3">
      <c r="AE168"/>
      <c r="AG168"/>
      <c r="AJ168"/>
    </row>
    <row r="169" spans="31:36" x14ac:dyDescent="0.3">
      <c r="AE169"/>
      <c r="AG169"/>
      <c r="AJ169"/>
    </row>
    <row r="170" spans="31:36" x14ac:dyDescent="0.3">
      <c r="AE170"/>
      <c r="AG170"/>
      <c r="AJ170"/>
    </row>
    <row r="171" spans="31:36" x14ac:dyDescent="0.3">
      <c r="AE171"/>
      <c r="AG171"/>
      <c r="AJ171"/>
    </row>
    <row r="172" spans="31:36" x14ac:dyDescent="0.3">
      <c r="AE172"/>
      <c r="AG172"/>
      <c r="AJ172"/>
    </row>
    <row r="173" spans="31:36" x14ac:dyDescent="0.3">
      <c r="AE173"/>
      <c r="AG173"/>
      <c r="AJ173"/>
    </row>
    <row r="174" spans="31:36" x14ac:dyDescent="0.3">
      <c r="AE174"/>
      <c r="AG174"/>
      <c r="AJ174"/>
    </row>
    <row r="175" spans="31:36" x14ac:dyDescent="0.3">
      <c r="AE175"/>
      <c r="AG175"/>
      <c r="AJ175"/>
    </row>
    <row r="176" spans="31:36" x14ac:dyDescent="0.3">
      <c r="AE176"/>
      <c r="AG176"/>
      <c r="AJ176"/>
    </row>
    <row r="177" spans="31:36" x14ac:dyDescent="0.3">
      <c r="AE177"/>
      <c r="AG177"/>
      <c r="AJ177"/>
    </row>
    <row r="178" spans="31:36" x14ac:dyDescent="0.3">
      <c r="AE178"/>
      <c r="AG178"/>
      <c r="AJ178"/>
    </row>
    <row r="179" spans="31:36" x14ac:dyDescent="0.3">
      <c r="AE179"/>
      <c r="AG179"/>
      <c r="AJ179"/>
    </row>
    <row r="180" spans="31:36" x14ac:dyDescent="0.3">
      <c r="AE180"/>
      <c r="AG180"/>
      <c r="AJ180"/>
    </row>
    <row r="181" spans="31:36" x14ac:dyDescent="0.3">
      <c r="AE181"/>
      <c r="AG181"/>
      <c r="AJ181"/>
    </row>
    <row r="182" spans="31:36" x14ac:dyDescent="0.3">
      <c r="AE182"/>
      <c r="AG182"/>
      <c r="AJ182"/>
    </row>
    <row r="183" spans="31:36" x14ac:dyDescent="0.3">
      <c r="AE183"/>
      <c r="AG183"/>
      <c r="AJ183"/>
    </row>
    <row r="184" spans="31:36" x14ac:dyDescent="0.3">
      <c r="AE184"/>
      <c r="AG184"/>
      <c r="AJ184"/>
    </row>
    <row r="185" spans="31:36" x14ac:dyDescent="0.3">
      <c r="AE185"/>
      <c r="AG185"/>
      <c r="AJ185"/>
    </row>
    <row r="186" spans="31:36" x14ac:dyDescent="0.3">
      <c r="AE186"/>
      <c r="AG186"/>
      <c r="AJ186"/>
    </row>
    <row r="187" spans="31:36" x14ac:dyDescent="0.3">
      <c r="AE187"/>
      <c r="AG187"/>
      <c r="AJ187"/>
    </row>
    <row r="188" spans="31:36" x14ac:dyDescent="0.3">
      <c r="AE188"/>
      <c r="AG188"/>
      <c r="AJ188"/>
    </row>
    <row r="189" spans="31:36" x14ac:dyDescent="0.3">
      <c r="AE189"/>
      <c r="AG189"/>
      <c r="AJ189"/>
    </row>
    <row r="190" spans="31:36" x14ac:dyDescent="0.3">
      <c r="AE190"/>
      <c r="AG190"/>
      <c r="AJ190"/>
    </row>
    <row r="191" spans="31:36" x14ac:dyDescent="0.3">
      <c r="AE191"/>
      <c r="AG191"/>
      <c r="AJ191"/>
    </row>
    <row r="192" spans="31:36" x14ac:dyDescent="0.3">
      <c r="AE192"/>
      <c r="AG192"/>
      <c r="AJ192"/>
    </row>
    <row r="193" spans="31:36" x14ac:dyDescent="0.3">
      <c r="AE193"/>
      <c r="AG193"/>
      <c r="AJ193"/>
    </row>
    <row r="194" spans="31:36" x14ac:dyDescent="0.3">
      <c r="AE194"/>
      <c r="AG194"/>
      <c r="AJ194"/>
    </row>
    <row r="195" spans="31:36" x14ac:dyDescent="0.3">
      <c r="AE195"/>
      <c r="AG195"/>
      <c r="AJ195"/>
    </row>
    <row r="196" spans="31:36" x14ac:dyDescent="0.3">
      <c r="AE196"/>
      <c r="AG196"/>
      <c r="AJ196"/>
    </row>
    <row r="197" spans="31:36" x14ac:dyDescent="0.3">
      <c r="AE197"/>
      <c r="AG197"/>
      <c r="AJ197"/>
    </row>
    <row r="198" spans="31:36" x14ac:dyDescent="0.3">
      <c r="AE198"/>
      <c r="AG198"/>
      <c r="AJ198"/>
    </row>
    <row r="199" spans="31:36" x14ac:dyDescent="0.3">
      <c r="AE199"/>
      <c r="AG199"/>
      <c r="AJ199"/>
    </row>
    <row r="200" spans="31:36" x14ac:dyDescent="0.3">
      <c r="AE200"/>
      <c r="AG200"/>
      <c r="AJ200"/>
    </row>
    <row r="201" spans="31:36" x14ac:dyDescent="0.3">
      <c r="AE201"/>
      <c r="AG201"/>
      <c r="AJ201"/>
    </row>
    <row r="202" spans="31:36" x14ac:dyDescent="0.3">
      <c r="AE202"/>
      <c r="AG202"/>
      <c r="AJ202"/>
    </row>
    <row r="203" spans="31:36" x14ac:dyDescent="0.3">
      <c r="AE203"/>
      <c r="AG203"/>
      <c r="AJ203"/>
    </row>
    <row r="204" spans="31:36" x14ac:dyDescent="0.3">
      <c r="AE204"/>
      <c r="AG204"/>
      <c r="AJ204"/>
    </row>
    <row r="205" spans="31:36" x14ac:dyDescent="0.3">
      <c r="AE205"/>
      <c r="AG205"/>
      <c r="AJ205"/>
    </row>
    <row r="206" spans="31:36" x14ac:dyDescent="0.3">
      <c r="AE206"/>
      <c r="AG206"/>
      <c r="AJ206"/>
    </row>
    <row r="207" spans="31:36" x14ac:dyDescent="0.3">
      <c r="AE207"/>
      <c r="AG207"/>
      <c r="AJ207"/>
    </row>
    <row r="208" spans="31:36" x14ac:dyDescent="0.3">
      <c r="AE208"/>
      <c r="AG208"/>
      <c r="AJ208"/>
    </row>
    <row r="209" spans="31:36" x14ac:dyDescent="0.3">
      <c r="AE209"/>
      <c r="AG209"/>
      <c r="AJ209"/>
    </row>
    <row r="210" spans="31:36" x14ac:dyDescent="0.3">
      <c r="AE210"/>
      <c r="AG210"/>
      <c r="AJ210"/>
    </row>
    <row r="211" spans="31:36" x14ac:dyDescent="0.3">
      <c r="AE211"/>
      <c r="AG211"/>
      <c r="AJ211"/>
    </row>
    <row r="212" spans="31:36" x14ac:dyDescent="0.3">
      <c r="AE212"/>
      <c r="AG212"/>
      <c r="AJ212"/>
    </row>
    <row r="213" spans="31:36" x14ac:dyDescent="0.3">
      <c r="AE213"/>
      <c r="AG213"/>
      <c r="AJ213"/>
    </row>
    <row r="214" spans="31:36" x14ac:dyDescent="0.3">
      <c r="AE214"/>
      <c r="AG214"/>
      <c r="AJ214"/>
    </row>
    <row r="215" spans="31:36" x14ac:dyDescent="0.3">
      <c r="AE215"/>
      <c r="AG215"/>
      <c r="AJ215"/>
    </row>
    <row r="216" spans="31:36" x14ac:dyDescent="0.3">
      <c r="AE216"/>
      <c r="AG216"/>
      <c r="AJ216"/>
    </row>
    <row r="217" spans="31:36" x14ac:dyDescent="0.3">
      <c r="AE217"/>
      <c r="AG217"/>
      <c r="AJ217"/>
    </row>
    <row r="218" spans="31:36" x14ac:dyDescent="0.3">
      <c r="AE218"/>
      <c r="AG218"/>
      <c r="AJ218"/>
    </row>
    <row r="219" spans="31:36" x14ac:dyDescent="0.3">
      <c r="AE219"/>
      <c r="AG219"/>
      <c r="AJ219"/>
    </row>
    <row r="220" spans="31:36" x14ac:dyDescent="0.3">
      <c r="AE220"/>
      <c r="AG220"/>
      <c r="AJ220"/>
    </row>
    <row r="221" spans="31:36" x14ac:dyDescent="0.3">
      <c r="AE221"/>
      <c r="AG221"/>
      <c r="AJ221"/>
    </row>
    <row r="222" spans="31:36" x14ac:dyDescent="0.3">
      <c r="AE222"/>
      <c r="AG222"/>
      <c r="AJ222"/>
    </row>
    <row r="223" spans="31:36" x14ac:dyDescent="0.3">
      <c r="AE223"/>
      <c r="AG223"/>
      <c r="AJ223"/>
    </row>
    <row r="224" spans="31:36" x14ac:dyDescent="0.3">
      <c r="AE224"/>
      <c r="AG224"/>
      <c r="AJ224"/>
    </row>
    <row r="225" spans="31:36" x14ac:dyDescent="0.3">
      <c r="AE225"/>
      <c r="AG225"/>
      <c r="AJ225"/>
    </row>
    <row r="226" spans="31:36" x14ac:dyDescent="0.3">
      <c r="AE226"/>
      <c r="AG226"/>
      <c r="AJ226"/>
    </row>
    <row r="227" spans="31:36" x14ac:dyDescent="0.3">
      <c r="AE227"/>
      <c r="AG227"/>
      <c r="AJ227"/>
    </row>
    <row r="228" spans="31:36" x14ac:dyDescent="0.3">
      <c r="AE228"/>
      <c r="AG228"/>
      <c r="AJ228"/>
    </row>
    <row r="229" spans="31:36" x14ac:dyDescent="0.3">
      <c r="AE229"/>
      <c r="AG229"/>
      <c r="AJ229"/>
    </row>
    <row r="230" spans="31:36" x14ac:dyDescent="0.3">
      <c r="AE230"/>
      <c r="AG230"/>
      <c r="AJ230"/>
    </row>
    <row r="231" spans="31:36" x14ac:dyDescent="0.3">
      <c r="AE231"/>
      <c r="AG231"/>
      <c r="AJ231"/>
    </row>
    <row r="232" spans="31:36" x14ac:dyDescent="0.3">
      <c r="AE232"/>
      <c r="AG232"/>
      <c r="AJ232"/>
    </row>
    <row r="233" spans="31:36" x14ac:dyDescent="0.3">
      <c r="AE233"/>
      <c r="AG233"/>
      <c r="AJ233"/>
    </row>
    <row r="234" spans="31:36" x14ac:dyDescent="0.3">
      <c r="AE234"/>
      <c r="AG234"/>
      <c r="AJ234"/>
    </row>
    <row r="235" spans="31:36" x14ac:dyDescent="0.3">
      <c r="AE235"/>
      <c r="AG235"/>
      <c r="AJ235"/>
    </row>
    <row r="236" spans="31:36" x14ac:dyDescent="0.3">
      <c r="AE236"/>
      <c r="AG236"/>
      <c r="AJ236"/>
    </row>
    <row r="237" spans="31:36" x14ac:dyDescent="0.3">
      <c r="AE237"/>
      <c r="AG237"/>
      <c r="AJ237"/>
    </row>
    <row r="238" spans="31:36" x14ac:dyDescent="0.3">
      <c r="AE238"/>
      <c r="AG238"/>
      <c r="AJ238"/>
    </row>
    <row r="239" spans="31:36" x14ac:dyDescent="0.3">
      <c r="AE239"/>
      <c r="AG239"/>
      <c r="AJ239"/>
    </row>
    <row r="240" spans="31:36" x14ac:dyDescent="0.3">
      <c r="AE240"/>
      <c r="AG240"/>
      <c r="AJ240"/>
    </row>
    <row r="241" spans="31:36" x14ac:dyDescent="0.3">
      <c r="AE241"/>
      <c r="AG241"/>
      <c r="AJ241"/>
    </row>
    <row r="242" spans="31:36" x14ac:dyDescent="0.3">
      <c r="AE242"/>
      <c r="AG242"/>
      <c r="AJ242"/>
    </row>
    <row r="243" spans="31:36" x14ac:dyDescent="0.3">
      <c r="AE243"/>
      <c r="AG243"/>
      <c r="AJ243"/>
    </row>
    <row r="244" spans="31:36" x14ac:dyDescent="0.3">
      <c r="AE244"/>
      <c r="AG244"/>
      <c r="AJ244"/>
    </row>
    <row r="245" spans="31:36" x14ac:dyDescent="0.3">
      <c r="AE245"/>
      <c r="AG245"/>
      <c r="AJ245"/>
    </row>
    <row r="246" spans="31:36" x14ac:dyDescent="0.3">
      <c r="AE246"/>
      <c r="AG246"/>
      <c r="AJ246"/>
    </row>
    <row r="247" spans="31:36" x14ac:dyDescent="0.3">
      <c r="AE247"/>
      <c r="AG247"/>
      <c r="AJ247"/>
    </row>
    <row r="248" spans="31:36" x14ac:dyDescent="0.3">
      <c r="AE248"/>
      <c r="AG248"/>
      <c r="AJ248"/>
    </row>
    <row r="249" spans="31:36" x14ac:dyDescent="0.3">
      <c r="AE249"/>
      <c r="AG249"/>
      <c r="AJ249"/>
    </row>
    <row r="250" spans="31:36" x14ac:dyDescent="0.3">
      <c r="AE250"/>
      <c r="AG250"/>
      <c r="AJ250"/>
    </row>
    <row r="251" spans="31:36" x14ac:dyDescent="0.3">
      <c r="AE251"/>
      <c r="AG251"/>
      <c r="AJ251"/>
    </row>
    <row r="252" spans="31:36" x14ac:dyDescent="0.3">
      <c r="AE252"/>
      <c r="AG252"/>
      <c r="AJ252"/>
    </row>
    <row r="253" spans="31:36" x14ac:dyDescent="0.3">
      <c r="AE253"/>
      <c r="AG253"/>
      <c r="AJ253"/>
    </row>
    <row r="254" spans="31:36" x14ac:dyDescent="0.3">
      <c r="AE254"/>
      <c r="AG254"/>
      <c r="AJ254"/>
    </row>
    <row r="255" spans="31:36" x14ac:dyDescent="0.3">
      <c r="AE255"/>
      <c r="AG255"/>
      <c r="AJ255"/>
    </row>
    <row r="256" spans="31:36" x14ac:dyDescent="0.3">
      <c r="AE256"/>
      <c r="AG256"/>
      <c r="AJ256"/>
    </row>
    <row r="257" spans="31:36" x14ac:dyDescent="0.3">
      <c r="AE257"/>
      <c r="AG257"/>
      <c r="AJ257"/>
    </row>
    <row r="258" spans="31:36" x14ac:dyDescent="0.3">
      <c r="AE258"/>
      <c r="AG258"/>
      <c r="AJ258"/>
    </row>
    <row r="259" spans="31:36" x14ac:dyDescent="0.3">
      <c r="AE259"/>
      <c r="AG259"/>
      <c r="AJ259"/>
    </row>
    <row r="260" spans="31:36" x14ac:dyDescent="0.3">
      <c r="AE260"/>
      <c r="AG260"/>
      <c r="AJ260"/>
    </row>
    <row r="261" spans="31:36" x14ac:dyDescent="0.3">
      <c r="AE261"/>
      <c r="AG261"/>
      <c r="AJ261"/>
    </row>
    <row r="262" spans="31:36" x14ac:dyDescent="0.3">
      <c r="AE262"/>
      <c r="AG262"/>
      <c r="AJ262"/>
    </row>
    <row r="263" spans="31:36" x14ac:dyDescent="0.3">
      <c r="AE263"/>
      <c r="AG263"/>
      <c r="AJ263"/>
    </row>
    <row r="264" spans="31:36" x14ac:dyDescent="0.3">
      <c r="AE264"/>
      <c r="AG264"/>
      <c r="AJ264"/>
    </row>
    <row r="265" spans="31:36" x14ac:dyDescent="0.3">
      <c r="AE265"/>
      <c r="AG265"/>
      <c r="AJ265"/>
    </row>
    <row r="266" spans="31:36" x14ac:dyDescent="0.3">
      <c r="AE266"/>
      <c r="AG266"/>
      <c r="AJ266"/>
    </row>
    <row r="267" spans="31:36" x14ac:dyDescent="0.3">
      <c r="AE267"/>
      <c r="AG267"/>
      <c r="AJ267"/>
    </row>
    <row r="268" spans="31:36" x14ac:dyDescent="0.3">
      <c r="AE268"/>
      <c r="AG268"/>
      <c r="AJ268"/>
    </row>
    <row r="269" spans="31:36" x14ac:dyDescent="0.3">
      <c r="AE269"/>
      <c r="AG269"/>
      <c r="AJ269"/>
    </row>
    <row r="270" spans="31:36" x14ac:dyDescent="0.3">
      <c r="AE270"/>
      <c r="AG270"/>
      <c r="AJ270"/>
    </row>
    <row r="271" spans="31:36" x14ac:dyDescent="0.3">
      <c r="AE271"/>
      <c r="AG271"/>
      <c r="AJ271"/>
    </row>
    <row r="272" spans="31:36" x14ac:dyDescent="0.3">
      <c r="AE272"/>
      <c r="AG272"/>
      <c r="AJ272"/>
    </row>
    <row r="273" spans="31:36" x14ac:dyDescent="0.3">
      <c r="AE273"/>
      <c r="AG273"/>
      <c r="AJ273"/>
    </row>
    <row r="274" spans="31:36" x14ac:dyDescent="0.3">
      <c r="AE274"/>
      <c r="AG274"/>
      <c r="AJ274"/>
    </row>
    <row r="275" spans="31:36" x14ac:dyDescent="0.3">
      <c r="AE275"/>
      <c r="AG275"/>
      <c r="AJ275"/>
    </row>
    <row r="276" spans="31:36" x14ac:dyDescent="0.3">
      <c r="AE276"/>
      <c r="AG276"/>
      <c r="AJ276"/>
    </row>
    <row r="277" spans="31:36" x14ac:dyDescent="0.3">
      <c r="AE277"/>
      <c r="AG277"/>
      <c r="AJ277"/>
    </row>
    <row r="278" spans="31:36" x14ac:dyDescent="0.3">
      <c r="AE278"/>
      <c r="AG278"/>
      <c r="AJ278"/>
    </row>
    <row r="279" spans="31:36" x14ac:dyDescent="0.3">
      <c r="AE279"/>
      <c r="AG279"/>
      <c r="AJ279"/>
    </row>
    <row r="280" spans="31:36" x14ac:dyDescent="0.3">
      <c r="AE280"/>
      <c r="AG280"/>
      <c r="AJ280"/>
    </row>
    <row r="281" spans="31:36" x14ac:dyDescent="0.3">
      <c r="AE281"/>
      <c r="AG281"/>
      <c r="AJ281"/>
    </row>
    <row r="282" spans="31:36" x14ac:dyDescent="0.3">
      <c r="AE282"/>
      <c r="AG282"/>
      <c r="AJ282"/>
    </row>
    <row r="283" spans="31:36" x14ac:dyDescent="0.3">
      <c r="AE283"/>
      <c r="AG283"/>
      <c r="AJ283"/>
    </row>
    <row r="284" spans="31:36" x14ac:dyDescent="0.3">
      <c r="AE284"/>
      <c r="AG284"/>
      <c r="AJ284"/>
    </row>
    <row r="285" spans="31:36" x14ac:dyDescent="0.3">
      <c r="AE285"/>
      <c r="AG285"/>
      <c r="AJ285"/>
    </row>
    <row r="286" spans="31:36" x14ac:dyDescent="0.3">
      <c r="AE286"/>
      <c r="AG286"/>
      <c r="AJ286"/>
    </row>
    <row r="287" spans="31:36" x14ac:dyDescent="0.3">
      <c r="AE287"/>
      <c r="AG287"/>
      <c r="AJ287"/>
    </row>
    <row r="288" spans="31:36" x14ac:dyDescent="0.3">
      <c r="AE288"/>
      <c r="AG288"/>
      <c r="AJ288"/>
    </row>
    <row r="289" spans="31:36" x14ac:dyDescent="0.3">
      <c r="AE289"/>
      <c r="AG289"/>
      <c r="AJ289"/>
    </row>
    <row r="290" spans="31:36" x14ac:dyDescent="0.3">
      <c r="AE290"/>
      <c r="AG290"/>
      <c r="AJ290"/>
    </row>
    <row r="291" spans="31:36" x14ac:dyDescent="0.3">
      <c r="AE291"/>
      <c r="AG291"/>
      <c r="AJ291"/>
    </row>
    <row r="292" spans="31:36" x14ac:dyDescent="0.3">
      <c r="AE292"/>
      <c r="AG292"/>
      <c r="AJ292"/>
    </row>
    <row r="293" spans="31:36" x14ac:dyDescent="0.3">
      <c r="AE293"/>
      <c r="AG293"/>
      <c r="AJ293"/>
    </row>
    <row r="294" spans="31:36" x14ac:dyDescent="0.3">
      <c r="AE294"/>
      <c r="AG294"/>
      <c r="AJ294"/>
    </row>
    <row r="295" spans="31:36" x14ac:dyDescent="0.3">
      <c r="AE295"/>
      <c r="AG295"/>
      <c r="AJ295"/>
    </row>
    <row r="296" spans="31:36" x14ac:dyDescent="0.3">
      <c r="AE296"/>
      <c r="AG296"/>
      <c r="AJ296"/>
    </row>
    <row r="297" spans="31:36" x14ac:dyDescent="0.3">
      <c r="AE297"/>
      <c r="AG297"/>
      <c r="AJ297"/>
    </row>
    <row r="298" spans="31:36" x14ac:dyDescent="0.3">
      <c r="AE298"/>
      <c r="AG298"/>
      <c r="AJ298"/>
    </row>
    <row r="299" spans="31:36" x14ac:dyDescent="0.3">
      <c r="AE299"/>
      <c r="AG299"/>
      <c r="AJ299"/>
    </row>
    <row r="300" spans="31:36" x14ac:dyDescent="0.3">
      <c r="AE300"/>
      <c r="AG300"/>
      <c r="AJ300"/>
    </row>
    <row r="301" spans="31:36" x14ac:dyDescent="0.3">
      <c r="AE301"/>
      <c r="AG301"/>
      <c r="AJ301"/>
    </row>
    <row r="302" spans="31:36" x14ac:dyDescent="0.3">
      <c r="AE302"/>
      <c r="AG302"/>
      <c r="AJ302"/>
    </row>
    <row r="303" spans="31:36" x14ac:dyDescent="0.3">
      <c r="AE303"/>
      <c r="AG303"/>
      <c r="AJ303"/>
    </row>
    <row r="304" spans="31:36" x14ac:dyDescent="0.3">
      <c r="AE304"/>
      <c r="AG304"/>
      <c r="AJ304"/>
    </row>
    <row r="305" spans="31:36" x14ac:dyDescent="0.3">
      <c r="AE305"/>
      <c r="AG305"/>
      <c r="AJ305"/>
    </row>
    <row r="306" spans="31:36" x14ac:dyDescent="0.3">
      <c r="AE306"/>
      <c r="AG306"/>
      <c r="AJ306"/>
    </row>
    <row r="307" spans="31:36" x14ac:dyDescent="0.3">
      <c r="AE307"/>
      <c r="AG307"/>
      <c r="AJ307"/>
    </row>
    <row r="308" spans="31:36" x14ac:dyDescent="0.3">
      <c r="AE308"/>
      <c r="AG308"/>
      <c r="AJ308"/>
    </row>
    <row r="309" spans="31:36" x14ac:dyDescent="0.3">
      <c r="AE309"/>
      <c r="AG309"/>
      <c r="AJ309"/>
    </row>
    <row r="310" spans="31:36" x14ac:dyDescent="0.3">
      <c r="AE310"/>
      <c r="AG310"/>
      <c r="AJ310"/>
    </row>
    <row r="311" spans="31:36" x14ac:dyDescent="0.3">
      <c r="AE311"/>
      <c r="AG311"/>
      <c r="AJ311"/>
    </row>
    <row r="312" spans="31:36" x14ac:dyDescent="0.3">
      <c r="AE312"/>
      <c r="AG312"/>
      <c r="AJ312"/>
    </row>
    <row r="313" spans="31:36" x14ac:dyDescent="0.3">
      <c r="AE313"/>
      <c r="AG313"/>
      <c r="AJ313"/>
    </row>
    <row r="314" spans="31:36" x14ac:dyDescent="0.3">
      <c r="AE314"/>
      <c r="AG314"/>
      <c r="AJ314"/>
    </row>
    <row r="315" spans="31:36" x14ac:dyDescent="0.3">
      <c r="AE315"/>
      <c r="AG315"/>
      <c r="AJ315"/>
    </row>
    <row r="316" spans="31:36" x14ac:dyDescent="0.3">
      <c r="AE316"/>
      <c r="AG316"/>
      <c r="AJ316"/>
    </row>
    <row r="317" spans="31:36" x14ac:dyDescent="0.3">
      <c r="AE317"/>
      <c r="AG317"/>
      <c r="AJ317"/>
    </row>
    <row r="318" spans="31:36" x14ac:dyDescent="0.3">
      <c r="AE318"/>
      <c r="AG318"/>
      <c r="AJ318"/>
    </row>
    <row r="319" spans="31:36" x14ac:dyDescent="0.3">
      <c r="AE319"/>
      <c r="AG319"/>
      <c r="AJ319"/>
    </row>
    <row r="320" spans="31:36" x14ac:dyDescent="0.3">
      <c r="AE320"/>
      <c r="AG320"/>
      <c r="AJ320"/>
    </row>
    <row r="321" spans="31:36" x14ac:dyDescent="0.3">
      <c r="AE321"/>
      <c r="AG321"/>
      <c r="AJ321"/>
    </row>
    <row r="322" spans="31:36" x14ac:dyDescent="0.3">
      <c r="AE322"/>
      <c r="AG322"/>
      <c r="AJ322"/>
    </row>
    <row r="323" spans="31:36" x14ac:dyDescent="0.3">
      <c r="AE323"/>
      <c r="AG323"/>
      <c r="AJ323"/>
    </row>
    <row r="324" spans="31:36" x14ac:dyDescent="0.3">
      <c r="AE324"/>
      <c r="AG324"/>
      <c r="AJ324"/>
    </row>
    <row r="325" spans="31:36" x14ac:dyDescent="0.3">
      <c r="AE325"/>
      <c r="AG325"/>
      <c r="AJ325"/>
    </row>
    <row r="326" spans="31:36" x14ac:dyDescent="0.3">
      <c r="AE326"/>
      <c r="AG326"/>
      <c r="AJ326"/>
    </row>
    <row r="327" spans="31:36" x14ac:dyDescent="0.3">
      <c r="AE327"/>
      <c r="AG327"/>
      <c r="AJ327"/>
    </row>
    <row r="328" spans="31:36" x14ac:dyDescent="0.3">
      <c r="AE328"/>
      <c r="AG328"/>
      <c r="AJ328"/>
    </row>
    <row r="329" spans="31:36" x14ac:dyDescent="0.3">
      <c r="AE329"/>
      <c r="AG329"/>
      <c r="AJ329"/>
    </row>
    <row r="330" spans="31:36" x14ac:dyDescent="0.3">
      <c r="AE330"/>
      <c r="AG330"/>
      <c r="AJ330"/>
    </row>
    <row r="331" spans="31:36" x14ac:dyDescent="0.3">
      <c r="AE331"/>
      <c r="AG331"/>
      <c r="AJ331"/>
    </row>
    <row r="332" spans="31:36" x14ac:dyDescent="0.3">
      <c r="AE332"/>
      <c r="AG332"/>
      <c r="AJ332"/>
    </row>
    <row r="333" spans="31:36" x14ac:dyDescent="0.3">
      <c r="AE333"/>
      <c r="AG333"/>
      <c r="AJ333"/>
    </row>
    <row r="334" spans="31:36" x14ac:dyDescent="0.3">
      <c r="AE334"/>
      <c r="AG334"/>
      <c r="AJ334"/>
    </row>
    <row r="335" spans="31:36" x14ac:dyDescent="0.3">
      <c r="AE335"/>
      <c r="AG335"/>
      <c r="AJ335"/>
    </row>
    <row r="336" spans="31:36" x14ac:dyDescent="0.3">
      <c r="AE336"/>
      <c r="AG336"/>
      <c r="AJ336"/>
    </row>
    <row r="337" spans="31:36" x14ac:dyDescent="0.3">
      <c r="AE337"/>
      <c r="AG337"/>
      <c r="AJ337"/>
    </row>
    <row r="338" spans="31:36" x14ac:dyDescent="0.3">
      <c r="AE338"/>
      <c r="AG338"/>
      <c r="AJ338"/>
    </row>
    <row r="339" spans="31:36" x14ac:dyDescent="0.3">
      <c r="AE339"/>
      <c r="AG339"/>
      <c r="AJ339"/>
    </row>
    <row r="340" spans="31:36" x14ac:dyDescent="0.3">
      <c r="AE340"/>
      <c r="AG340"/>
      <c r="AJ340"/>
    </row>
    <row r="341" spans="31:36" x14ac:dyDescent="0.3">
      <c r="AE341"/>
      <c r="AG341"/>
      <c r="AJ341"/>
    </row>
    <row r="342" spans="31:36" x14ac:dyDescent="0.3">
      <c r="AE342"/>
      <c r="AG342"/>
      <c r="AJ342"/>
    </row>
    <row r="343" spans="31:36" x14ac:dyDescent="0.3">
      <c r="AE343"/>
      <c r="AG343"/>
      <c r="AJ343"/>
    </row>
    <row r="344" spans="31:36" x14ac:dyDescent="0.3">
      <c r="AE344"/>
      <c r="AG344"/>
      <c r="AJ344"/>
    </row>
    <row r="345" spans="31:36" x14ac:dyDescent="0.3">
      <c r="AE345"/>
      <c r="AG345"/>
      <c r="AJ345"/>
    </row>
    <row r="346" spans="31:36" x14ac:dyDescent="0.3">
      <c r="AE346"/>
      <c r="AG346"/>
      <c r="AJ346"/>
    </row>
    <row r="347" spans="31:36" x14ac:dyDescent="0.3">
      <c r="AE347"/>
      <c r="AG347"/>
      <c r="AJ347"/>
    </row>
    <row r="348" spans="31:36" x14ac:dyDescent="0.3">
      <c r="AE348"/>
      <c r="AG348"/>
      <c r="AJ348"/>
    </row>
    <row r="349" spans="31:36" x14ac:dyDescent="0.3">
      <c r="AE349"/>
      <c r="AG349"/>
      <c r="AJ349"/>
    </row>
    <row r="350" spans="31:36" x14ac:dyDescent="0.3">
      <c r="AE350"/>
      <c r="AG350"/>
      <c r="AJ350"/>
    </row>
    <row r="351" spans="31:36" x14ac:dyDescent="0.3">
      <c r="AE351"/>
      <c r="AG351"/>
      <c r="AJ351"/>
    </row>
    <row r="352" spans="31:36" x14ac:dyDescent="0.3">
      <c r="AE352"/>
      <c r="AG352"/>
      <c r="AJ352"/>
    </row>
    <row r="353" spans="31:36" x14ac:dyDescent="0.3">
      <c r="AE353"/>
      <c r="AG353"/>
      <c r="AJ353"/>
    </row>
    <row r="354" spans="31:36" x14ac:dyDescent="0.3">
      <c r="AE354"/>
      <c r="AG354"/>
      <c r="AJ354"/>
    </row>
    <row r="355" spans="31:36" x14ac:dyDescent="0.3">
      <c r="AE355"/>
      <c r="AG355"/>
      <c r="AJ355"/>
    </row>
    <row r="356" spans="31:36" x14ac:dyDescent="0.3">
      <c r="AE356"/>
      <c r="AG356"/>
      <c r="AJ356"/>
    </row>
    <row r="357" spans="31:36" x14ac:dyDescent="0.3">
      <c r="AE357"/>
      <c r="AG357"/>
      <c r="AJ357"/>
    </row>
    <row r="358" spans="31:36" x14ac:dyDescent="0.3">
      <c r="AE358"/>
      <c r="AG358"/>
      <c r="AJ358"/>
    </row>
    <row r="359" spans="31:36" x14ac:dyDescent="0.3">
      <c r="AE359"/>
      <c r="AG359"/>
      <c r="AJ359"/>
    </row>
  </sheetData>
  <sheetProtection algorithmName="SHA-512" hashValue="iIIL29ZQvUsX63Ou94R3XjwF+6FSv8A6NeetXTXuM0VIAtzm/d0ceK0mdi/rECErqDXO+UMjJ/AGNsgNCOd+Qw==" saltValue="6c/5up74hJxJiG8uuOlP+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7"/>
  <sheetViews>
    <sheetView topLeftCell="A33" zoomScaleNormal="100" workbookViewId="0">
      <selection activeCell="AE53" sqref="AE53"/>
    </sheetView>
  </sheetViews>
  <sheetFormatPr baseColWidth="10" defaultColWidth="9.109375" defaultRowHeight="14.4" outlineLevelRow="1" outlineLevelCol="1" x14ac:dyDescent="0.3"/>
  <cols>
    <col min="1" max="1" width="5.33203125" style="85" customWidth="1"/>
    <col min="2" max="2" width="40.6640625" customWidth="1"/>
    <col min="3" max="14" width="10.109375" hidden="1" customWidth="1" outlineLevel="1"/>
    <col min="15" max="15" width="11" customWidth="1" collapsed="1"/>
    <col min="16" max="27" width="11" hidden="1" customWidth="1" outlineLevel="1"/>
    <col min="28" max="28" width="11" style="49" customWidth="1" collapsed="1"/>
    <col min="29" max="30" width="11" customWidth="1"/>
    <col min="31" max="31" width="6.88671875" customWidth="1"/>
    <col min="32" max="32" width="25.77734375" bestFit="1" customWidth="1"/>
    <col min="34" max="34" width="9.77734375" customWidth="1"/>
    <col min="35" max="35" width="12.44140625" bestFit="1" customWidth="1"/>
  </cols>
  <sheetData>
    <row r="1" spans="1:34" ht="25.8" x14ac:dyDescent="0.5">
      <c r="B1" s="24" t="s">
        <v>22</v>
      </c>
      <c r="AF1" s="82" t="s">
        <v>114</v>
      </c>
    </row>
    <row r="2" spans="1:34" ht="21" x14ac:dyDescent="0.4">
      <c r="B2" s="40" t="s">
        <v>34</v>
      </c>
      <c r="AF2" s="36" t="s">
        <v>49</v>
      </c>
    </row>
    <row r="3" spans="1:34" ht="21" x14ac:dyDescent="0.4">
      <c r="B3" s="40"/>
      <c r="AF3" s="36" t="s">
        <v>72</v>
      </c>
    </row>
    <row r="4" spans="1:34" ht="21" x14ac:dyDescent="0.4">
      <c r="B4" s="40"/>
    </row>
    <row r="5" spans="1:34" x14ac:dyDescent="0.3">
      <c r="AF5" s="36"/>
    </row>
    <row r="6" spans="1:34" x14ac:dyDescent="0.3">
      <c r="AF6" s="43"/>
      <c r="AG6" s="44"/>
      <c r="AH6" s="44"/>
    </row>
    <row r="7" spans="1:34" ht="15.6" x14ac:dyDescent="0.3">
      <c r="B7" s="2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9" t="s">
        <v>14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 t="s">
        <v>13</v>
      </c>
      <c r="AC7" s="9" t="s">
        <v>14</v>
      </c>
      <c r="AD7" s="9" t="s">
        <v>13</v>
      </c>
    </row>
    <row r="8" spans="1:34" ht="15.6" x14ac:dyDescent="0.3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20" t="s">
        <v>4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34" t="s">
        <v>11</v>
      </c>
      <c r="AC8" s="20" t="s">
        <v>11</v>
      </c>
      <c r="AD8" s="20" t="s">
        <v>11</v>
      </c>
      <c r="AF8" s="36" t="s">
        <v>91</v>
      </c>
    </row>
    <row r="9" spans="1:34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>
        <v>2020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0">
        <v>2020</v>
      </c>
      <c r="AC9" s="4">
        <v>2019</v>
      </c>
      <c r="AD9" s="4">
        <v>2021</v>
      </c>
      <c r="AF9" t="s">
        <v>25</v>
      </c>
      <c r="AG9" s="37">
        <v>36000</v>
      </c>
      <c r="AH9" s="37"/>
    </row>
    <row r="10" spans="1:34" s="44" customFormat="1" ht="21" x14ac:dyDescent="0.4">
      <c r="A10" s="93" t="s">
        <v>90</v>
      </c>
      <c r="B10" s="21" t="s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F10" t="s">
        <v>32</v>
      </c>
      <c r="AG10" s="37">
        <v>19000</v>
      </c>
      <c r="AH10" s="37"/>
    </row>
    <row r="11" spans="1:34" x14ac:dyDescent="0.3">
      <c r="B11" s="16" t="s">
        <v>12</v>
      </c>
      <c r="C11" s="1">
        <f t="shared" ref="C11:AD11" si="0">SUM(0)</f>
        <v>0</v>
      </c>
      <c r="D11" s="1">
        <f t="shared" si="0"/>
        <v>0</v>
      </c>
      <c r="E11" s="1">
        <f t="shared" si="0"/>
        <v>0</v>
      </c>
      <c r="F11" s="1">
        <f t="shared" si="0"/>
        <v>0</v>
      </c>
      <c r="G11" s="1">
        <f t="shared" si="0"/>
        <v>0</v>
      </c>
      <c r="H11" s="1">
        <f t="shared" si="0"/>
        <v>0</v>
      </c>
      <c r="I11" s="1">
        <f t="shared" si="0"/>
        <v>0</v>
      </c>
      <c r="J11" s="1">
        <f t="shared" si="0"/>
        <v>0</v>
      </c>
      <c r="K11" s="1">
        <f t="shared" si="0"/>
        <v>0</v>
      </c>
      <c r="L11" s="1">
        <f t="shared" si="0"/>
        <v>0</v>
      </c>
      <c r="M11" s="1">
        <f t="shared" si="0"/>
        <v>0</v>
      </c>
      <c r="N11" s="1">
        <f t="shared" si="0"/>
        <v>0</v>
      </c>
      <c r="O11" s="1">
        <f t="shared" si="0"/>
        <v>0</v>
      </c>
      <c r="P11" s="1">
        <f t="shared" si="0"/>
        <v>0</v>
      </c>
      <c r="Q11" s="1">
        <f t="shared" si="0"/>
        <v>0</v>
      </c>
      <c r="R11" s="1">
        <f t="shared" si="0"/>
        <v>0</v>
      </c>
      <c r="S11" s="1">
        <f t="shared" si="0"/>
        <v>0</v>
      </c>
      <c r="T11" s="1">
        <f t="shared" si="0"/>
        <v>0</v>
      </c>
      <c r="U11" s="1">
        <f t="shared" si="0"/>
        <v>0</v>
      </c>
      <c r="V11" s="1">
        <f t="shared" si="0"/>
        <v>0</v>
      </c>
      <c r="W11" s="1">
        <f t="shared" si="0"/>
        <v>0</v>
      </c>
      <c r="X11" s="1">
        <f t="shared" si="0"/>
        <v>0</v>
      </c>
      <c r="Y11" s="1">
        <f t="shared" si="0"/>
        <v>0</v>
      </c>
      <c r="Z11" s="1">
        <f t="shared" si="0"/>
        <v>0</v>
      </c>
      <c r="AA11" s="1">
        <f t="shared" si="0"/>
        <v>0</v>
      </c>
      <c r="AB11" s="45">
        <f>AB12</f>
        <v>-5000</v>
      </c>
      <c r="AC11" s="1">
        <f>AC12</f>
        <v>-3405</v>
      </c>
      <c r="AD11" s="1">
        <f t="shared" si="0"/>
        <v>0</v>
      </c>
      <c r="AF11" t="s">
        <v>38</v>
      </c>
      <c r="AG11" s="38">
        <v>26900</v>
      </c>
      <c r="AH11" s="39">
        <v>81900</v>
      </c>
    </row>
    <row r="12" spans="1:34" x14ac:dyDescent="0.3">
      <c r="A12" s="91"/>
      <c r="B12" s="19" t="s">
        <v>35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6">
        <v>-5000</v>
      </c>
      <c r="AC12" s="41">
        <v>-3405</v>
      </c>
      <c r="AD12" s="41"/>
      <c r="AG12" s="37"/>
      <c r="AH12" s="37"/>
    </row>
    <row r="13" spans="1:34" x14ac:dyDescent="0.3">
      <c r="B13" s="16" t="s">
        <v>5</v>
      </c>
      <c r="C13" s="1">
        <f t="shared" ref="C13:AC13" si="1">SUM(C14:C15)</f>
        <v>0</v>
      </c>
      <c r="D13" s="1">
        <f t="shared" si="1"/>
        <v>-5000</v>
      </c>
      <c r="E13" s="1">
        <f t="shared" si="1"/>
        <v>0</v>
      </c>
      <c r="F13" s="1">
        <f t="shared" si="1"/>
        <v>0</v>
      </c>
      <c r="G13" s="1">
        <f t="shared" si="1"/>
        <v>-44130.32</v>
      </c>
      <c r="H13" s="1">
        <f t="shared" si="1"/>
        <v>0</v>
      </c>
      <c r="I13" s="1">
        <f t="shared" si="1"/>
        <v>-11651</v>
      </c>
      <c r="J13" s="1">
        <f t="shared" si="1"/>
        <v>-19000</v>
      </c>
      <c r="K13" s="1">
        <f t="shared" si="1"/>
        <v>0</v>
      </c>
      <c r="L13" s="1">
        <f t="shared" si="1"/>
        <v>0</v>
      </c>
      <c r="M13" s="1">
        <f t="shared" si="1"/>
        <v>0</v>
      </c>
      <c r="N13" s="1">
        <f t="shared" si="1"/>
        <v>-62900</v>
      </c>
      <c r="O13" s="1">
        <f t="shared" si="1"/>
        <v>-142681.32</v>
      </c>
      <c r="P13" s="1">
        <f t="shared" si="1"/>
        <v>0</v>
      </c>
      <c r="Q13" s="1">
        <f t="shared" si="1"/>
        <v>0</v>
      </c>
      <c r="R13" s="1">
        <f t="shared" si="1"/>
        <v>0</v>
      </c>
      <c r="S13" s="1">
        <f t="shared" si="1"/>
        <v>0</v>
      </c>
      <c r="T13" s="1">
        <f t="shared" si="1"/>
        <v>0</v>
      </c>
      <c r="U13" s="1">
        <f t="shared" si="1"/>
        <v>0</v>
      </c>
      <c r="V13" s="1">
        <f t="shared" si="1"/>
        <v>0</v>
      </c>
      <c r="W13" s="1">
        <f t="shared" si="1"/>
        <v>0</v>
      </c>
      <c r="X13" s="1">
        <f t="shared" si="1"/>
        <v>0</v>
      </c>
      <c r="Y13" s="1">
        <f t="shared" si="1"/>
        <v>0</v>
      </c>
      <c r="Z13" s="1">
        <f t="shared" si="1"/>
        <v>0</v>
      </c>
      <c r="AA13" s="1">
        <f t="shared" si="1"/>
        <v>0</v>
      </c>
      <c r="AB13" s="45">
        <f>SUM(AB14:AB15)</f>
        <v>-80000</v>
      </c>
      <c r="AC13" s="1">
        <f t="shared" si="1"/>
        <v>-79212</v>
      </c>
      <c r="AD13" s="1">
        <f t="shared" ref="AD13" si="2">SUM(AD14:AD15)</f>
        <v>-66000</v>
      </c>
      <c r="AF13" s="36" t="s">
        <v>92</v>
      </c>
      <c r="AG13" s="37"/>
      <c r="AH13" s="37"/>
    </row>
    <row r="14" spans="1:34" x14ac:dyDescent="0.3">
      <c r="A14" s="85">
        <v>1</v>
      </c>
      <c r="B14" s="19" t="str">
        <f>3400&amp;" - "&amp;"Tilskudd"</f>
        <v>3400 - Tilskudd</v>
      </c>
      <c r="C14" s="2"/>
      <c r="D14" s="2"/>
      <c r="E14" s="2"/>
      <c r="F14" s="2"/>
      <c r="G14" s="2"/>
      <c r="H14" s="2"/>
      <c r="I14" s="2"/>
      <c r="J14" s="2">
        <v>-19000</v>
      </c>
      <c r="K14" s="2"/>
      <c r="L14" s="2"/>
      <c r="M14" s="2"/>
      <c r="N14" s="2">
        <v>-62900</v>
      </c>
      <c r="O14" s="2">
        <v>-81900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54">
        <f t="shared" ref="AB14" si="3">SUM(P14)</f>
        <v>0</v>
      </c>
      <c r="AC14" s="18"/>
      <c r="AD14" s="18">
        <v>-36000</v>
      </c>
      <c r="AF14" t="s">
        <v>33</v>
      </c>
      <c r="AG14" s="37">
        <v>21891</v>
      </c>
      <c r="AH14" s="37"/>
    </row>
    <row r="15" spans="1:34" outlineLevel="1" x14ac:dyDescent="0.3">
      <c r="A15" s="85">
        <v>2</v>
      </c>
      <c r="B15" s="19" t="str">
        <f t="array" ref="B15">3440&amp;" - "&amp;"Andre tilskudd"</f>
        <v>3440 - Andre tilskudd</v>
      </c>
      <c r="C15" s="2"/>
      <c r="D15" s="2">
        <v>-5000</v>
      </c>
      <c r="E15" s="2"/>
      <c r="F15" s="2"/>
      <c r="G15" s="2">
        <v>-44130.32</v>
      </c>
      <c r="H15" s="2"/>
      <c r="I15" s="2">
        <v>-11651</v>
      </c>
      <c r="J15" s="2"/>
      <c r="K15" s="2"/>
      <c r="L15" s="2"/>
      <c r="M15" s="2"/>
      <c r="N15" s="2"/>
      <c r="O15" s="2">
        <v>-60781.32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54">
        <f>-30000-30000-5000-15000</f>
        <v>-80000</v>
      </c>
      <c r="AC15" s="18">
        <f>-22800-27501-17626-11285</f>
        <v>-79212</v>
      </c>
      <c r="AD15" s="18">
        <v>-30000</v>
      </c>
      <c r="AF15" t="s">
        <v>26</v>
      </c>
      <c r="AG15" s="37">
        <v>15367</v>
      </c>
      <c r="AH15" s="37"/>
    </row>
    <row r="16" spans="1:34" outlineLevel="1" x14ac:dyDescent="0.3">
      <c r="B16" s="16" t="s">
        <v>10</v>
      </c>
      <c r="C16" s="1">
        <f t="shared" ref="C16:AC16" si="4">SUM(C17:C21)</f>
        <v>-12666.78</v>
      </c>
      <c r="D16" s="1">
        <f t="shared" si="4"/>
        <v>-12210.37</v>
      </c>
      <c r="E16" s="1">
        <f t="shared" si="4"/>
        <v>-9191.49</v>
      </c>
      <c r="F16" s="1">
        <f t="shared" si="4"/>
        <v>0</v>
      </c>
      <c r="G16" s="1">
        <f t="shared" si="4"/>
        <v>-21357.95</v>
      </c>
      <c r="H16" s="1">
        <f t="shared" si="4"/>
        <v>-4216.13</v>
      </c>
      <c r="I16" s="1">
        <f t="shared" si="4"/>
        <v>0</v>
      </c>
      <c r="J16" s="1">
        <f t="shared" si="4"/>
        <v>-3583.48</v>
      </c>
      <c r="K16" s="1">
        <f t="shared" si="4"/>
        <v>-9263.36</v>
      </c>
      <c r="L16" s="1">
        <f t="shared" si="4"/>
        <v>-18418.580000000002</v>
      </c>
      <c r="M16" s="1">
        <f t="shared" si="4"/>
        <v>-7078.04</v>
      </c>
      <c r="N16" s="1">
        <f t="shared" si="4"/>
        <v>-44877.72</v>
      </c>
      <c r="O16" s="1">
        <f t="shared" si="4"/>
        <v>-142863.90000000002</v>
      </c>
      <c r="P16" s="1">
        <f t="shared" si="4"/>
        <v>0</v>
      </c>
      <c r="Q16" s="1">
        <f t="shared" si="4"/>
        <v>0</v>
      </c>
      <c r="R16" s="1">
        <f t="shared" si="4"/>
        <v>0</v>
      </c>
      <c r="S16" s="1">
        <f t="shared" si="4"/>
        <v>0</v>
      </c>
      <c r="T16" s="1">
        <f t="shared" si="4"/>
        <v>0</v>
      </c>
      <c r="U16" s="1">
        <f t="shared" si="4"/>
        <v>0</v>
      </c>
      <c r="V16" s="1">
        <f t="shared" si="4"/>
        <v>0</v>
      </c>
      <c r="W16" s="1">
        <f t="shared" si="4"/>
        <v>0</v>
      </c>
      <c r="X16" s="1">
        <f t="shared" si="4"/>
        <v>0</v>
      </c>
      <c r="Y16" s="1">
        <f t="shared" si="4"/>
        <v>0</v>
      </c>
      <c r="Z16" s="1">
        <f t="shared" si="4"/>
        <v>0</v>
      </c>
      <c r="AA16" s="1">
        <f t="shared" si="4"/>
        <v>0</v>
      </c>
      <c r="AB16" s="45">
        <f t="shared" si="4"/>
        <v>-231000</v>
      </c>
      <c r="AC16" s="1">
        <f t="shared" si="4"/>
        <v>-202894</v>
      </c>
      <c r="AD16" s="1">
        <f t="shared" ref="AD16" si="5">SUM(AD17:AD21)</f>
        <v>-176000</v>
      </c>
      <c r="AF16" t="s">
        <v>27</v>
      </c>
      <c r="AG16" s="38">
        <v>23523</v>
      </c>
      <c r="AH16" s="39">
        <v>60781</v>
      </c>
    </row>
    <row r="17" spans="1:34" outlineLevel="1" x14ac:dyDescent="0.3">
      <c r="B17" s="19" t="str">
        <f t="array" ref="B17">3930&amp;" - "&amp;"Treningsavgifter"</f>
        <v>3930 - Treningsavgifter</v>
      </c>
      <c r="C17" s="2">
        <v>-11050</v>
      </c>
      <c r="D17" s="2">
        <v>-11575</v>
      </c>
      <c r="E17" s="2">
        <v>-6000</v>
      </c>
      <c r="F17" s="2"/>
      <c r="G17" s="2">
        <v>-200</v>
      </c>
      <c r="H17" s="2">
        <v>-1200</v>
      </c>
      <c r="I17" s="2"/>
      <c r="J17" s="2"/>
      <c r="K17" s="2">
        <v>17930</v>
      </c>
      <c r="L17" s="2">
        <v>-14136</v>
      </c>
      <c r="M17" s="2">
        <v>-7078.04</v>
      </c>
      <c r="N17" s="2">
        <v>-1644</v>
      </c>
      <c r="O17" s="2">
        <v>-34953.040000000001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54">
        <v>-90000</v>
      </c>
      <c r="AC17" s="18">
        <v>-84350</v>
      </c>
      <c r="AD17" s="18">
        <v>-70000</v>
      </c>
      <c r="AG17" s="37"/>
      <c r="AH17" s="37"/>
    </row>
    <row r="18" spans="1:34" x14ac:dyDescent="0.3">
      <c r="A18" s="85">
        <v>3</v>
      </c>
      <c r="B18" s="19" t="s">
        <v>37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54">
        <v>-28000</v>
      </c>
      <c r="AC18" s="18">
        <v>-2850</v>
      </c>
      <c r="AD18" s="18"/>
      <c r="AF18" s="36" t="s">
        <v>10</v>
      </c>
      <c r="AG18" s="37"/>
      <c r="AH18" s="37"/>
    </row>
    <row r="19" spans="1:34" x14ac:dyDescent="0.3">
      <c r="B19" s="19" t="str">
        <f t="array" ref="B19">3960&amp;" - "&amp;"Lotterier, bingo etc"</f>
        <v>3960 - Lotterier, bingo etc</v>
      </c>
      <c r="C19" s="2"/>
      <c r="D19" s="2"/>
      <c r="E19" s="2"/>
      <c r="F19" s="2"/>
      <c r="G19" s="2">
        <v>-21157.95</v>
      </c>
      <c r="H19" s="2">
        <v>-3016.13</v>
      </c>
      <c r="I19" s="2"/>
      <c r="J19" s="2">
        <v>-3583.48</v>
      </c>
      <c r="K19" s="2">
        <v>-25072.36</v>
      </c>
      <c r="L19" s="2">
        <v>-4087.08</v>
      </c>
      <c r="M19" s="2"/>
      <c r="N19" s="2">
        <v>-27556.65</v>
      </c>
      <c r="O19" s="2">
        <v>-84473.65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54">
        <f>-80000-15000-3000</f>
        <v>-98000</v>
      </c>
      <c r="AC19" s="18">
        <f>-80154-6086</f>
        <v>-86240</v>
      </c>
      <c r="AD19" s="18">
        <v>-83000</v>
      </c>
      <c r="AF19" s="35" t="s">
        <v>28</v>
      </c>
      <c r="AG19" s="37">
        <v>34953</v>
      </c>
      <c r="AH19" s="37"/>
    </row>
    <row r="20" spans="1:34" outlineLevel="1" x14ac:dyDescent="0.3">
      <c r="B20" s="19" t="str">
        <f t="array" ref="B20">3970&amp;" - "&amp;"Momskompensasjon"</f>
        <v>3970 - Momskompensasjon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>
        <v>-15677.07</v>
      </c>
      <c r="O20" s="2">
        <v>-15677.07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54">
        <v>-10000</v>
      </c>
      <c r="AC20" s="18">
        <f>-26219</f>
        <v>-26219</v>
      </c>
      <c r="AD20" s="18">
        <v>-15000</v>
      </c>
      <c r="AF20" t="s">
        <v>29</v>
      </c>
      <c r="AG20" s="37">
        <v>10687</v>
      </c>
      <c r="AH20" s="37"/>
    </row>
    <row r="21" spans="1:34" outlineLevel="1" x14ac:dyDescent="0.3">
      <c r="B21" s="19" t="str">
        <f t="array" ref="B21">3990&amp;" - "&amp;"Andre inntekter"</f>
        <v>3990 - Andre inntekter</v>
      </c>
      <c r="C21" s="2">
        <v>-1616.78</v>
      </c>
      <c r="D21" s="2">
        <v>-635.37</v>
      </c>
      <c r="E21" s="2">
        <v>-3191.49</v>
      </c>
      <c r="F21" s="2"/>
      <c r="G21" s="2"/>
      <c r="H21" s="2"/>
      <c r="I21" s="2"/>
      <c r="J21" s="2"/>
      <c r="K21" s="2">
        <v>-2121</v>
      </c>
      <c r="L21" s="2">
        <v>-195.5</v>
      </c>
      <c r="M21" s="2"/>
      <c r="N21" s="2"/>
      <c r="O21" s="2">
        <v>-7760.14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54">
        <v>-5000</v>
      </c>
      <c r="AC21" s="18">
        <v>-3235</v>
      </c>
      <c r="AD21" s="18">
        <v>-8000</v>
      </c>
      <c r="AF21" t="s">
        <v>23</v>
      </c>
      <c r="AG21" s="37">
        <v>73787</v>
      </c>
      <c r="AH21" s="37"/>
    </row>
    <row r="22" spans="1:34" outlineLevel="1" x14ac:dyDescent="0.3">
      <c r="B22" s="28" t="s">
        <v>7</v>
      </c>
      <c r="C22" s="7" t="e">
        <f>C16+#REF!+C13+C11</f>
        <v>#REF!</v>
      </c>
      <c r="D22" s="7" t="e">
        <f>D16+#REF!+D13+D11</f>
        <v>#REF!</v>
      </c>
      <c r="E22" s="7" t="e">
        <f>E16+#REF!+E13+E11</f>
        <v>#REF!</v>
      </c>
      <c r="F22" s="7" t="e">
        <f>F16+#REF!+F13+F11</f>
        <v>#REF!</v>
      </c>
      <c r="G22" s="7" t="e">
        <f>G16+#REF!+G13+G11</f>
        <v>#REF!</v>
      </c>
      <c r="H22" s="7" t="e">
        <f>H16+#REF!+H13+H11</f>
        <v>#REF!</v>
      </c>
      <c r="I22" s="7" t="e">
        <f>I16+#REF!+I13+I11</f>
        <v>#REF!</v>
      </c>
      <c r="J22" s="7" t="e">
        <f>J16+#REF!+J13+J11</f>
        <v>#REF!</v>
      </c>
      <c r="K22" s="7" t="e">
        <f>K16+#REF!+K13+K11</f>
        <v>#REF!</v>
      </c>
      <c r="L22" s="7" t="e">
        <f>L16+#REF!+L13+L11</f>
        <v>#REF!</v>
      </c>
      <c r="M22" s="7" t="e">
        <f>M16+#REF!+M13+M11</f>
        <v>#REF!</v>
      </c>
      <c r="N22" s="7" t="e">
        <f>N16+#REF!+N13+N11</f>
        <v>#REF!</v>
      </c>
      <c r="O22" s="7">
        <f>O11+O13+O16</f>
        <v>-285545.22000000003</v>
      </c>
      <c r="P22" s="7">
        <f t="shared" ref="P22:AD22" si="6">P11+P13+P16</f>
        <v>0</v>
      </c>
      <c r="Q22" s="7">
        <f t="shared" si="6"/>
        <v>0</v>
      </c>
      <c r="R22" s="7">
        <f t="shared" si="6"/>
        <v>0</v>
      </c>
      <c r="S22" s="7">
        <f t="shared" si="6"/>
        <v>0</v>
      </c>
      <c r="T22" s="7">
        <f t="shared" si="6"/>
        <v>0</v>
      </c>
      <c r="U22" s="7">
        <f t="shared" si="6"/>
        <v>0</v>
      </c>
      <c r="V22" s="7">
        <f t="shared" si="6"/>
        <v>0</v>
      </c>
      <c r="W22" s="7">
        <f t="shared" si="6"/>
        <v>0</v>
      </c>
      <c r="X22" s="7">
        <f t="shared" si="6"/>
        <v>0</v>
      </c>
      <c r="Y22" s="7">
        <f t="shared" si="6"/>
        <v>0</v>
      </c>
      <c r="Z22" s="7">
        <f t="shared" si="6"/>
        <v>0</v>
      </c>
      <c r="AA22" s="7">
        <f t="shared" si="6"/>
        <v>0</v>
      </c>
      <c r="AB22" s="7">
        <f t="shared" si="6"/>
        <v>-316000</v>
      </c>
      <c r="AC22" s="7">
        <f t="shared" si="6"/>
        <v>-285511</v>
      </c>
      <c r="AD22" s="7">
        <f t="shared" si="6"/>
        <v>-242000</v>
      </c>
      <c r="AF22" t="s">
        <v>30</v>
      </c>
      <c r="AG22" s="37">
        <v>15677</v>
      </c>
      <c r="AH22" s="37"/>
    </row>
    <row r="23" spans="1:34" outlineLevel="1" x14ac:dyDescent="0.3"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55"/>
      <c r="AC23" s="22"/>
      <c r="AD23" s="22"/>
      <c r="AF23" t="s">
        <v>31</v>
      </c>
      <c r="AG23" s="38">
        <v>7760</v>
      </c>
      <c r="AH23" s="39">
        <v>142864</v>
      </c>
    </row>
    <row r="24" spans="1:34" x14ac:dyDescent="0.3"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55"/>
      <c r="AC24" s="22"/>
      <c r="AD24" s="22"/>
    </row>
    <row r="25" spans="1:34" ht="21" x14ac:dyDescent="0.4">
      <c r="B25" s="21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4" x14ac:dyDescent="0.3">
      <c r="B26" s="16" t="s">
        <v>18</v>
      </c>
      <c r="C26" s="1">
        <f t="shared" ref="C26:AC26" si="7">SUM(C27:C28)</f>
        <v>0</v>
      </c>
      <c r="D26" s="1">
        <f t="shared" si="7"/>
        <v>0</v>
      </c>
      <c r="E26" s="1">
        <f t="shared" si="7"/>
        <v>7505</v>
      </c>
      <c r="F26" s="1">
        <f t="shared" si="7"/>
        <v>0</v>
      </c>
      <c r="G26" s="1">
        <f t="shared" si="7"/>
        <v>0</v>
      </c>
      <c r="H26" s="1">
        <f t="shared" si="7"/>
        <v>0</v>
      </c>
      <c r="I26" s="1">
        <f t="shared" si="7"/>
        <v>0</v>
      </c>
      <c r="J26" s="1">
        <f t="shared" si="7"/>
        <v>5206</v>
      </c>
      <c r="K26" s="1">
        <f t="shared" si="7"/>
        <v>0</v>
      </c>
      <c r="L26" s="1">
        <f t="shared" si="7"/>
        <v>0</v>
      </c>
      <c r="M26" s="1">
        <f t="shared" si="7"/>
        <v>0</v>
      </c>
      <c r="N26" s="1">
        <f t="shared" si="7"/>
        <v>-3990</v>
      </c>
      <c r="O26" s="1">
        <f t="shared" si="7"/>
        <v>8721</v>
      </c>
      <c r="P26" s="1">
        <f t="shared" si="7"/>
        <v>0</v>
      </c>
      <c r="Q26" s="1">
        <f t="shared" si="7"/>
        <v>0</v>
      </c>
      <c r="R26" s="1">
        <f t="shared" si="7"/>
        <v>0</v>
      </c>
      <c r="S26" s="1">
        <f t="shared" si="7"/>
        <v>0</v>
      </c>
      <c r="T26" s="1">
        <f t="shared" si="7"/>
        <v>0</v>
      </c>
      <c r="U26" s="1">
        <f t="shared" si="7"/>
        <v>0</v>
      </c>
      <c r="V26" s="1">
        <f t="shared" si="7"/>
        <v>0</v>
      </c>
      <c r="W26" s="1">
        <f t="shared" si="7"/>
        <v>0</v>
      </c>
      <c r="X26" s="1">
        <f t="shared" si="7"/>
        <v>0</v>
      </c>
      <c r="Y26" s="1">
        <f t="shared" si="7"/>
        <v>0</v>
      </c>
      <c r="Z26" s="1">
        <f t="shared" si="7"/>
        <v>0</v>
      </c>
      <c r="AA26" s="1">
        <f t="shared" si="7"/>
        <v>0</v>
      </c>
      <c r="AB26" s="45">
        <f t="shared" si="7"/>
        <v>62000</v>
      </c>
      <c r="AC26" s="1">
        <f t="shared" si="7"/>
        <v>8897</v>
      </c>
      <c r="AD26" s="1">
        <f t="shared" ref="AD26" si="8">SUM(AD27:AD28)</f>
        <v>5000</v>
      </c>
      <c r="AF26" s="92"/>
    </row>
    <row r="27" spans="1:34" x14ac:dyDescent="0.3">
      <c r="B27" s="19" t="str">
        <f t="array" ref="B27">4300&amp;" - "&amp;"Varekostnad, varer for videresalg"</f>
        <v>4300 - Varekostnad, varer for videresalg</v>
      </c>
      <c r="C27" s="2"/>
      <c r="D27" s="2"/>
      <c r="E27" s="2">
        <v>7505</v>
      </c>
      <c r="F27" s="2"/>
      <c r="G27" s="2"/>
      <c r="H27" s="2"/>
      <c r="I27" s="2"/>
      <c r="J27" s="2">
        <v>5206</v>
      </c>
      <c r="K27" s="2"/>
      <c r="L27" s="2"/>
      <c r="M27" s="2"/>
      <c r="N27" s="2"/>
      <c r="O27" s="2">
        <v>12711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54">
        <f>57000+5000</f>
        <v>62000</v>
      </c>
      <c r="AC27" s="18">
        <f>6786+2111</f>
        <v>8897</v>
      </c>
      <c r="AD27" s="18">
        <v>5000</v>
      </c>
      <c r="AF27" s="92"/>
    </row>
    <row r="28" spans="1:34" x14ac:dyDescent="0.3">
      <c r="B28" s="19" t="str">
        <f t="array" ref="B28">4390&amp;" - "&amp;"Beholdningsendring varelager"</f>
        <v>4390 - Beholdningsendring varelager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v>-3990</v>
      </c>
      <c r="O28" s="2">
        <v>-3990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54"/>
      <c r="AC28" s="18"/>
      <c r="AD28" s="18"/>
    </row>
    <row r="29" spans="1:34" outlineLevel="1" x14ac:dyDescent="0.3">
      <c r="B29" s="16" t="s">
        <v>2</v>
      </c>
      <c r="C29" s="1">
        <f t="shared" ref="C29:AD29" si="9">SUM(C30:C33)</f>
        <v>6839</v>
      </c>
      <c r="D29" s="1">
        <f t="shared" si="9"/>
        <v>3906</v>
      </c>
      <c r="E29" s="1">
        <f t="shared" si="9"/>
        <v>34265</v>
      </c>
      <c r="F29" s="1">
        <f t="shared" si="9"/>
        <v>0</v>
      </c>
      <c r="G29" s="1">
        <f t="shared" si="9"/>
        <v>0</v>
      </c>
      <c r="H29" s="1">
        <f t="shared" si="9"/>
        <v>0</v>
      </c>
      <c r="I29" s="1">
        <f t="shared" si="9"/>
        <v>1140</v>
      </c>
      <c r="J29" s="1">
        <f t="shared" si="9"/>
        <v>0</v>
      </c>
      <c r="K29" s="1">
        <f t="shared" si="9"/>
        <v>13532.5</v>
      </c>
      <c r="L29" s="1">
        <f t="shared" si="9"/>
        <v>20747.5</v>
      </c>
      <c r="M29" s="1">
        <f t="shared" si="9"/>
        <v>18535</v>
      </c>
      <c r="N29" s="1">
        <f t="shared" si="9"/>
        <v>22058.75</v>
      </c>
      <c r="O29" s="1">
        <f t="shared" si="9"/>
        <v>123470.5</v>
      </c>
      <c r="P29" s="1">
        <f t="shared" si="9"/>
        <v>0</v>
      </c>
      <c r="Q29" s="1">
        <f t="shared" si="9"/>
        <v>0</v>
      </c>
      <c r="R29" s="1">
        <f t="shared" si="9"/>
        <v>0</v>
      </c>
      <c r="S29" s="1">
        <f t="shared" si="9"/>
        <v>0</v>
      </c>
      <c r="T29" s="1">
        <f t="shared" si="9"/>
        <v>0</v>
      </c>
      <c r="U29" s="1">
        <f t="shared" si="9"/>
        <v>0</v>
      </c>
      <c r="V29" s="1">
        <f t="shared" si="9"/>
        <v>0</v>
      </c>
      <c r="W29" s="1">
        <f t="shared" si="9"/>
        <v>0</v>
      </c>
      <c r="X29" s="1">
        <f t="shared" si="9"/>
        <v>0</v>
      </c>
      <c r="Y29" s="1">
        <f t="shared" si="9"/>
        <v>0</v>
      </c>
      <c r="Z29" s="1">
        <f t="shared" si="9"/>
        <v>0</v>
      </c>
      <c r="AA29" s="1">
        <f t="shared" si="9"/>
        <v>0</v>
      </c>
      <c r="AB29" s="45">
        <f t="shared" si="9"/>
        <v>175000</v>
      </c>
      <c r="AC29" s="1">
        <f t="shared" si="9"/>
        <v>160847</v>
      </c>
      <c r="AD29" s="1">
        <f t="shared" si="9"/>
        <v>140000</v>
      </c>
    </row>
    <row r="30" spans="1:34" outlineLevel="1" x14ac:dyDescent="0.3">
      <c r="B30" s="19" t="str">
        <f t="array" ref="B30">5001&amp;" - "&amp;"Lønn uten AGA"</f>
        <v>5001 - Lønn uten AGA</v>
      </c>
      <c r="C30" s="2"/>
      <c r="D30" s="2"/>
      <c r="E30" s="2"/>
      <c r="F30" s="2"/>
      <c r="G30" s="2"/>
      <c r="H30" s="2"/>
      <c r="I30" s="2"/>
      <c r="J30" s="2"/>
      <c r="K30" s="2">
        <v>0</v>
      </c>
      <c r="L30" s="2">
        <v>20747.5</v>
      </c>
      <c r="M30" s="2">
        <v>18535</v>
      </c>
      <c r="N30" s="2"/>
      <c r="O30" s="2">
        <v>39282.5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54">
        <v>5000</v>
      </c>
      <c r="AC30" s="18">
        <v>5000</v>
      </c>
      <c r="AD30" s="18"/>
    </row>
    <row r="31" spans="1:34" x14ac:dyDescent="0.3">
      <c r="B31" s="19" t="str">
        <f t="array" ref="B31">5014&amp;" - "&amp;"Honorar uten AGA (inkl.feriepenger)"</f>
        <v>5014 - Honorar uten AGA (inkl.feriepenger)</v>
      </c>
      <c r="C31" s="2">
        <v>6839</v>
      </c>
      <c r="D31" s="2">
        <v>3906</v>
      </c>
      <c r="E31" s="2">
        <v>34265</v>
      </c>
      <c r="F31" s="2"/>
      <c r="G31" s="2"/>
      <c r="H31" s="2"/>
      <c r="I31" s="2"/>
      <c r="J31" s="2"/>
      <c r="K31" s="2">
        <v>13532.5</v>
      </c>
      <c r="L31" s="2"/>
      <c r="M31" s="2"/>
      <c r="N31" s="2">
        <v>22058.75</v>
      </c>
      <c r="O31" s="2">
        <v>83048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54">
        <v>160000</v>
      </c>
      <c r="AC31" s="18">
        <v>145847</v>
      </c>
      <c r="AD31" s="18"/>
    </row>
    <row r="32" spans="1:34" x14ac:dyDescent="0.3">
      <c r="A32" s="85">
        <f>83048-80601</f>
        <v>2447</v>
      </c>
      <c r="B32" s="19" t="str">
        <f t="array" ref="B32">5015&amp;" - "&amp;"Trenerlønn (ikke innberettet)"</f>
        <v>5015 - Trenerlønn (ikke innberettet)</v>
      </c>
      <c r="C32" s="2"/>
      <c r="D32" s="2"/>
      <c r="E32" s="2"/>
      <c r="F32" s="2"/>
      <c r="G32" s="2"/>
      <c r="H32" s="2"/>
      <c r="I32" s="2">
        <v>1140</v>
      </c>
      <c r="J32" s="2"/>
      <c r="K32" s="2"/>
      <c r="L32" s="2"/>
      <c r="M32" s="2"/>
      <c r="N32" s="2"/>
      <c r="O32" s="2">
        <v>1140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54"/>
      <c r="AC32" s="18"/>
      <c r="AD32" s="18">
        <v>124000</v>
      </c>
    </row>
    <row r="33" spans="2:30" outlineLevel="1" x14ac:dyDescent="0.3">
      <c r="B33" s="19" t="str">
        <f t="array" ref="B33">5330&amp;" - "&amp;"Godtgjørelse til styret"</f>
        <v>5330 - Godtgjørelse til styret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54">
        <v>10000</v>
      </c>
      <c r="AC33" s="18">
        <v>10000</v>
      </c>
      <c r="AD33" s="18">
        <v>16000</v>
      </c>
    </row>
    <row r="34" spans="2:30" outlineLevel="1" x14ac:dyDescent="0.3">
      <c r="B34" s="16" t="s">
        <v>8</v>
      </c>
      <c r="C34" s="1">
        <f t="shared" ref="C34:AC34" si="10">SUM(C35:C41)</f>
        <v>0</v>
      </c>
      <c r="D34" s="1">
        <f t="shared" si="10"/>
        <v>158</v>
      </c>
      <c r="E34" s="1">
        <f t="shared" si="10"/>
        <v>1499</v>
      </c>
      <c r="F34" s="1">
        <f t="shared" si="10"/>
        <v>0</v>
      </c>
      <c r="G34" s="1">
        <f t="shared" si="10"/>
        <v>2934</v>
      </c>
      <c r="H34" s="1">
        <f t="shared" si="10"/>
        <v>0</v>
      </c>
      <c r="I34" s="1">
        <f t="shared" si="10"/>
        <v>0</v>
      </c>
      <c r="J34" s="1">
        <f t="shared" si="10"/>
        <v>283.10000000000002</v>
      </c>
      <c r="K34" s="1">
        <f t="shared" si="10"/>
        <v>179</v>
      </c>
      <c r="L34" s="1">
        <f t="shared" si="10"/>
        <v>778.56999999999994</v>
      </c>
      <c r="M34" s="1">
        <f t="shared" si="10"/>
        <v>474</v>
      </c>
      <c r="N34" s="1">
        <f t="shared" si="10"/>
        <v>0</v>
      </c>
      <c r="O34" s="1">
        <f t="shared" si="10"/>
        <v>6305.67</v>
      </c>
      <c r="P34" s="1">
        <f t="shared" si="10"/>
        <v>0</v>
      </c>
      <c r="Q34" s="1">
        <f t="shared" si="10"/>
        <v>0</v>
      </c>
      <c r="R34" s="1">
        <f t="shared" si="10"/>
        <v>0</v>
      </c>
      <c r="S34" s="1">
        <f t="shared" si="10"/>
        <v>0</v>
      </c>
      <c r="T34" s="1">
        <f t="shared" si="10"/>
        <v>0</v>
      </c>
      <c r="U34" s="1">
        <f t="shared" si="10"/>
        <v>0</v>
      </c>
      <c r="V34" s="1">
        <f t="shared" si="10"/>
        <v>0</v>
      </c>
      <c r="W34" s="1">
        <f t="shared" si="10"/>
        <v>0</v>
      </c>
      <c r="X34" s="1">
        <f t="shared" si="10"/>
        <v>0</v>
      </c>
      <c r="Y34" s="1">
        <f t="shared" si="10"/>
        <v>0</v>
      </c>
      <c r="Z34" s="1">
        <f t="shared" si="10"/>
        <v>0</v>
      </c>
      <c r="AA34" s="1">
        <f t="shared" si="10"/>
        <v>0</v>
      </c>
      <c r="AB34" s="45">
        <f t="shared" si="10"/>
        <v>40800</v>
      </c>
      <c r="AC34" s="1">
        <f t="shared" si="10"/>
        <v>41594</v>
      </c>
      <c r="AD34" s="1">
        <f t="shared" ref="AD34" si="11">SUM(AD35:AD41)</f>
        <v>5500</v>
      </c>
    </row>
    <row r="35" spans="2:30" outlineLevel="1" x14ac:dyDescent="0.3">
      <c r="B35" s="19" t="str">
        <f t="array" ref="B35">6360&amp;" - "&amp;"Renhold"</f>
        <v>6360 - Renhold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398</v>
      </c>
      <c r="N35" s="2"/>
      <c r="O35" s="2">
        <v>398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54"/>
      <c r="AC35" s="18"/>
      <c r="AD35" s="18"/>
    </row>
    <row r="36" spans="2:30" x14ac:dyDescent="0.3">
      <c r="B36" s="19" t="str">
        <f t="array" ref="B36">6552&amp;" - "&amp;"Datautstyr (Programvare)"</f>
        <v>6552 - Datautstyr (Programvare)</v>
      </c>
      <c r="C36" s="2"/>
      <c r="D36" s="2"/>
      <c r="E36" s="2">
        <v>1499</v>
      </c>
      <c r="F36" s="2"/>
      <c r="G36" s="2"/>
      <c r="H36" s="2"/>
      <c r="I36" s="2"/>
      <c r="J36" s="2"/>
      <c r="K36" s="2"/>
      <c r="L36" s="2"/>
      <c r="M36" s="2"/>
      <c r="N36" s="2"/>
      <c r="O36" s="2">
        <v>1499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54">
        <v>3000</v>
      </c>
      <c r="AC36" s="18">
        <v>2993</v>
      </c>
      <c r="AD36" s="18">
        <v>1000</v>
      </c>
    </row>
    <row r="37" spans="2:30" outlineLevel="1" x14ac:dyDescent="0.3">
      <c r="B37" s="19" t="str">
        <f t="array" ref="B37">6580&amp;" - "&amp;"Idrettsutstyr"</f>
        <v>6580 - Idrettsutstyr</v>
      </c>
      <c r="C37" s="2"/>
      <c r="D37" s="2"/>
      <c r="E37" s="2"/>
      <c r="F37" s="2"/>
      <c r="G37" s="2">
        <v>2798</v>
      </c>
      <c r="H37" s="2"/>
      <c r="I37" s="2"/>
      <c r="J37" s="2"/>
      <c r="K37" s="2"/>
      <c r="L37" s="2"/>
      <c r="M37" s="2"/>
      <c r="N37" s="2"/>
      <c r="O37" s="2">
        <v>2798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54">
        <f>30000+500</f>
        <v>30500</v>
      </c>
      <c r="AC37" s="18">
        <v>36245</v>
      </c>
      <c r="AD37" s="18">
        <v>2500</v>
      </c>
    </row>
    <row r="38" spans="2:30" outlineLevel="1" x14ac:dyDescent="0.3">
      <c r="B38" s="19" t="str">
        <f t="array" ref="B38">6770&amp;" - "&amp;"Medisinsk behandling, utstyr etc"</f>
        <v>6770 - Medisinsk behandling, utstyr etc</v>
      </c>
      <c r="C38" s="2"/>
      <c r="D38" s="2"/>
      <c r="E38" s="2"/>
      <c r="F38" s="2"/>
      <c r="G38" s="2"/>
      <c r="H38" s="2"/>
      <c r="I38" s="2"/>
      <c r="J38" s="2"/>
      <c r="K38" s="2"/>
      <c r="L38" s="2">
        <v>468</v>
      </c>
      <c r="M38" s="2"/>
      <c r="N38" s="2"/>
      <c r="O38" s="2">
        <v>468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54"/>
      <c r="AC38" s="18"/>
      <c r="AD38" s="18">
        <v>500</v>
      </c>
    </row>
    <row r="39" spans="2:30" outlineLevel="1" x14ac:dyDescent="0.3">
      <c r="B39" s="19" t="str">
        <f t="array" ref="B39">6800&amp;" - "&amp;"Kontorrekvisita"</f>
        <v>6800 - Kontorrekvisita</v>
      </c>
      <c r="C39" s="2"/>
      <c r="D39" s="2">
        <v>158</v>
      </c>
      <c r="E39" s="2"/>
      <c r="F39" s="2"/>
      <c r="G39" s="2"/>
      <c r="H39" s="2"/>
      <c r="I39" s="2"/>
      <c r="J39" s="2">
        <v>283.10000000000002</v>
      </c>
      <c r="K39" s="2">
        <v>179</v>
      </c>
      <c r="L39" s="2"/>
      <c r="M39" s="2">
        <v>76</v>
      </c>
      <c r="N39" s="2"/>
      <c r="O39" s="2">
        <v>696.1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54">
        <v>1000</v>
      </c>
      <c r="AC39" s="18">
        <v>1000</v>
      </c>
      <c r="AD39" s="18">
        <v>500</v>
      </c>
    </row>
    <row r="40" spans="2:30" outlineLevel="1" x14ac:dyDescent="0.3">
      <c r="B40" s="19" t="str">
        <f t="array" ref="B40">6860&amp;" - "&amp;"Møte, kurs, oppdatering etc"</f>
        <v>6860 - Møte, kurs, oppdatering etc</v>
      </c>
      <c r="C40" s="2"/>
      <c r="D40" s="2"/>
      <c r="E40" s="2"/>
      <c r="F40" s="2"/>
      <c r="G40" s="2"/>
      <c r="H40" s="2"/>
      <c r="I40" s="2"/>
      <c r="J40" s="2"/>
      <c r="K40" s="2"/>
      <c r="L40" s="2">
        <v>310.57</v>
      </c>
      <c r="M40" s="2"/>
      <c r="N40" s="2"/>
      <c r="O40" s="2">
        <v>310.57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54">
        <f>5000+1000</f>
        <v>6000</v>
      </c>
      <c r="AC40" s="18">
        <f>600+756</f>
        <v>1356</v>
      </c>
      <c r="AD40" s="18">
        <v>1000</v>
      </c>
    </row>
    <row r="41" spans="2:30" outlineLevel="1" x14ac:dyDescent="0.3">
      <c r="B41" s="19" t="str">
        <f t="array" ref="B41">6940&amp;" - "&amp;"Porto"</f>
        <v>6940 - Porto</v>
      </c>
      <c r="C41" s="2"/>
      <c r="D41" s="2"/>
      <c r="E41" s="2"/>
      <c r="F41" s="2"/>
      <c r="G41" s="2">
        <v>136</v>
      </c>
      <c r="H41" s="2"/>
      <c r="I41" s="2"/>
      <c r="J41" s="2"/>
      <c r="K41" s="2"/>
      <c r="L41" s="2"/>
      <c r="M41" s="2"/>
      <c r="N41" s="2"/>
      <c r="O41" s="2">
        <v>136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54">
        <v>300</v>
      </c>
      <c r="AC41" s="18"/>
      <c r="AD41" s="18"/>
    </row>
    <row r="42" spans="2:30" outlineLevel="1" x14ac:dyDescent="0.3">
      <c r="B42" s="16" t="s">
        <v>21</v>
      </c>
      <c r="C42" s="1">
        <f t="shared" ref="C42:AC42" si="12">SUM(C43:C44)</f>
        <v>0</v>
      </c>
      <c r="D42" s="1">
        <f t="shared" si="12"/>
        <v>0</v>
      </c>
      <c r="E42" s="1">
        <f t="shared" si="12"/>
        <v>0</v>
      </c>
      <c r="F42" s="1">
        <f t="shared" si="12"/>
        <v>0</v>
      </c>
      <c r="G42" s="1">
        <f t="shared" si="12"/>
        <v>0</v>
      </c>
      <c r="H42" s="1">
        <f t="shared" si="12"/>
        <v>904</v>
      </c>
      <c r="I42" s="1">
        <f t="shared" si="12"/>
        <v>0</v>
      </c>
      <c r="J42" s="1">
        <f t="shared" si="12"/>
        <v>1484.18</v>
      </c>
      <c r="K42" s="1">
        <f t="shared" si="12"/>
        <v>0</v>
      </c>
      <c r="L42" s="1">
        <f t="shared" si="12"/>
        <v>791</v>
      </c>
      <c r="M42" s="1">
        <f t="shared" si="12"/>
        <v>456.05</v>
      </c>
      <c r="N42" s="1">
        <f t="shared" si="12"/>
        <v>2305.4</v>
      </c>
      <c r="O42" s="1">
        <f t="shared" si="12"/>
        <v>5940.63</v>
      </c>
      <c r="P42" s="1">
        <f t="shared" si="12"/>
        <v>0</v>
      </c>
      <c r="Q42" s="1">
        <f t="shared" si="12"/>
        <v>0</v>
      </c>
      <c r="R42" s="1">
        <f t="shared" si="12"/>
        <v>0</v>
      </c>
      <c r="S42" s="1">
        <f t="shared" si="12"/>
        <v>0</v>
      </c>
      <c r="T42" s="1">
        <f t="shared" si="12"/>
        <v>0</v>
      </c>
      <c r="U42" s="1">
        <f t="shared" si="12"/>
        <v>0</v>
      </c>
      <c r="V42" s="1">
        <f t="shared" si="12"/>
        <v>0</v>
      </c>
      <c r="W42" s="1">
        <f t="shared" si="12"/>
        <v>0</v>
      </c>
      <c r="X42" s="1">
        <f t="shared" si="12"/>
        <v>0</v>
      </c>
      <c r="Y42" s="1">
        <f t="shared" si="12"/>
        <v>0</v>
      </c>
      <c r="Z42" s="1">
        <f t="shared" si="12"/>
        <v>0</v>
      </c>
      <c r="AA42" s="1">
        <f t="shared" si="12"/>
        <v>0</v>
      </c>
      <c r="AB42" s="45">
        <f t="shared" si="12"/>
        <v>0</v>
      </c>
      <c r="AC42" s="1">
        <f t="shared" si="12"/>
        <v>0</v>
      </c>
      <c r="AD42" s="1">
        <f t="shared" ref="AD42" si="13">SUM(AD43:AD44)</f>
        <v>12000</v>
      </c>
    </row>
    <row r="43" spans="2:30" outlineLevel="1" x14ac:dyDescent="0.3">
      <c r="B43" s="19" t="str">
        <f t="array" ref="B43">7100&amp;" - "&amp;"Bilgodtgjørelse"</f>
        <v>7100 - Bilgodtgjørelse</v>
      </c>
      <c r="C43" s="2"/>
      <c r="D43" s="2"/>
      <c r="E43" s="2"/>
      <c r="F43" s="2"/>
      <c r="G43" s="2"/>
      <c r="H43" s="2"/>
      <c r="I43" s="2"/>
      <c r="J43" s="2"/>
      <c r="K43" s="2"/>
      <c r="L43" s="2">
        <v>791</v>
      </c>
      <c r="M43" s="2">
        <v>456.05</v>
      </c>
      <c r="N43" s="2">
        <v>2203.6</v>
      </c>
      <c r="O43" s="2">
        <v>3450.65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54"/>
      <c r="AC43" s="18"/>
      <c r="AD43" s="18">
        <v>7000</v>
      </c>
    </row>
    <row r="44" spans="2:30" outlineLevel="1" x14ac:dyDescent="0.3">
      <c r="B44" s="19" t="str">
        <f t="array" ref="B44">7162&amp;" - "&amp;"Bevertning/mat"</f>
        <v>7162 - Bevertning/mat</v>
      </c>
      <c r="C44" s="2"/>
      <c r="D44" s="2"/>
      <c r="E44" s="2"/>
      <c r="F44" s="2"/>
      <c r="G44" s="2"/>
      <c r="H44" s="2">
        <v>904</v>
      </c>
      <c r="I44" s="2"/>
      <c r="J44" s="2">
        <v>1484.18</v>
      </c>
      <c r="K44" s="2"/>
      <c r="L44" s="2"/>
      <c r="M44" s="2"/>
      <c r="N44" s="2">
        <v>101.8</v>
      </c>
      <c r="O44" s="2">
        <v>2489.98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54"/>
      <c r="AC44" s="18"/>
      <c r="AD44" s="18">
        <v>5000</v>
      </c>
    </row>
    <row r="45" spans="2:30" x14ac:dyDescent="0.3">
      <c r="B45" s="16" t="s">
        <v>17</v>
      </c>
      <c r="C45" s="1">
        <f t="shared" ref="C45:AC45" si="14">SUM(C46:C48)</f>
        <v>0</v>
      </c>
      <c r="D45" s="1">
        <f t="shared" si="14"/>
        <v>0</v>
      </c>
      <c r="E45" s="1">
        <f t="shared" si="14"/>
        <v>3234</v>
      </c>
      <c r="F45" s="1">
        <f t="shared" si="14"/>
        <v>14550</v>
      </c>
      <c r="G45" s="1">
        <f t="shared" si="14"/>
        <v>0</v>
      </c>
      <c r="H45" s="1">
        <f t="shared" si="14"/>
        <v>1950</v>
      </c>
      <c r="I45" s="1">
        <f t="shared" si="14"/>
        <v>0</v>
      </c>
      <c r="J45" s="1">
        <f t="shared" si="14"/>
        <v>0</v>
      </c>
      <c r="K45" s="1">
        <f t="shared" si="14"/>
        <v>0</v>
      </c>
      <c r="L45" s="1">
        <f t="shared" si="14"/>
        <v>1650</v>
      </c>
      <c r="M45" s="1">
        <f t="shared" si="14"/>
        <v>0</v>
      </c>
      <c r="N45" s="1">
        <f t="shared" si="14"/>
        <v>0</v>
      </c>
      <c r="O45" s="1">
        <f t="shared" si="14"/>
        <v>21384</v>
      </c>
      <c r="P45" s="1">
        <f t="shared" si="14"/>
        <v>0</v>
      </c>
      <c r="Q45" s="1">
        <f t="shared" si="14"/>
        <v>0</v>
      </c>
      <c r="R45" s="1">
        <f t="shared" si="14"/>
        <v>0</v>
      </c>
      <c r="S45" s="1">
        <f t="shared" si="14"/>
        <v>0</v>
      </c>
      <c r="T45" s="1">
        <f t="shared" si="14"/>
        <v>0</v>
      </c>
      <c r="U45" s="1">
        <f t="shared" si="14"/>
        <v>0</v>
      </c>
      <c r="V45" s="1">
        <f t="shared" si="14"/>
        <v>0</v>
      </c>
      <c r="W45" s="1">
        <f t="shared" si="14"/>
        <v>0</v>
      </c>
      <c r="X45" s="1">
        <f t="shared" si="14"/>
        <v>0</v>
      </c>
      <c r="Y45" s="1">
        <f t="shared" si="14"/>
        <v>0</v>
      </c>
      <c r="Z45" s="1">
        <f t="shared" si="14"/>
        <v>0</v>
      </c>
      <c r="AA45" s="1">
        <f t="shared" si="14"/>
        <v>0</v>
      </c>
      <c r="AB45" s="45">
        <f t="shared" si="14"/>
        <v>36000</v>
      </c>
      <c r="AC45" s="1">
        <f t="shared" si="14"/>
        <v>34209</v>
      </c>
      <c r="AD45" s="1">
        <f t="shared" ref="AD45" si="15">SUM(AD46:AD48)</f>
        <v>26000</v>
      </c>
    </row>
    <row r="46" spans="2:30" x14ac:dyDescent="0.3">
      <c r="B46" s="19" t="str">
        <f t="array" ref="B46">7400&amp;" - "&amp;"Medlemskontingenter"</f>
        <v>7400 - Medlemskontingenter</v>
      </c>
      <c r="C46" s="2"/>
      <c r="D46" s="2"/>
      <c r="E46" s="2"/>
      <c r="F46" s="2"/>
      <c r="G46" s="2"/>
      <c r="H46" s="2"/>
      <c r="I46" s="2"/>
      <c r="J46" s="2"/>
      <c r="K46" s="2"/>
      <c r="L46" s="2">
        <v>1650</v>
      </c>
      <c r="M46" s="2"/>
      <c r="N46" s="2"/>
      <c r="O46" s="2">
        <v>1650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54"/>
      <c r="AC46" s="18"/>
      <c r="AD46" s="18">
        <v>2000</v>
      </c>
    </row>
    <row r="47" spans="2:30" x14ac:dyDescent="0.3">
      <c r="B47" s="19" t="str">
        <f t="array" ref="B47">7410&amp;" - "&amp;"Påmelding serier, turneringer etc"</f>
        <v>7410 - Påmelding serier, turneringer etc</v>
      </c>
      <c r="C47" s="2"/>
      <c r="D47" s="2"/>
      <c r="E47" s="2"/>
      <c r="F47" s="2">
        <v>14550</v>
      </c>
      <c r="G47" s="2"/>
      <c r="H47" s="2">
        <v>1950</v>
      </c>
      <c r="I47" s="2"/>
      <c r="J47" s="2"/>
      <c r="K47" s="2"/>
      <c r="L47" s="2"/>
      <c r="M47" s="2"/>
      <c r="N47" s="2"/>
      <c r="O47" s="2">
        <v>16500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54">
        <f>22000+1500+3000</f>
        <v>26500</v>
      </c>
      <c r="AC47" s="18">
        <f>21750+1290+2850</f>
        <v>25890</v>
      </c>
      <c r="AD47" s="18">
        <v>20000</v>
      </c>
    </row>
    <row r="48" spans="2:30" outlineLevel="1" x14ac:dyDescent="0.3">
      <c r="B48" s="19" t="str">
        <f t="array" ref="B48">7420&amp;" - "&amp;"Gaver og premier"</f>
        <v>7420 - Gaver og premier</v>
      </c>
      <c r="C48" s="2"/>
      <c r="D48" s="2"/>
      <c r="E48" s="2">
        <v>3234</v>
      </c>
      <c r="F48" s="2"/>
      <c r="G48" s="2"/>
      <c r="H48" s="2"/>
      <c r="I48" s="2"/>
      <c r="J48" s="2"/>
      <c r="K48" s="2"/>
      <c r="L48" s="2"/>
      <c r="M48" s="2"/>
      <c r="N48" s="2"/>
      <c r="O48" s="2">
        <v>3234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54">
        <f>2500+7000</f>
        <v>9500</v>
      </c>
      <c r="AC48" s="18">
        <f>1960+6359</f>
        <v>8319</v>
      </c>
      <c r="AD48" s="18">
        <v>4000</v>
      </c>
    </row>
    <row r="49" spans="2:30" outlineLevel="1" x14ac:dyDescent="0.3">
      <c r="B49" s="16" t="s">
        <v>5</v>
      </c>
      <c r="C49" s="1">
        <f t="shared" ref="C49:AD49" si="16">SUM(0)</f>
        <v>0</v>
      </c>
      <c r="D49" s="1">
        <f t="shared" si="16"/>
        <v>0</v>
      </c>
      <c r="E49" s="1">
        <f t="shared" si="16"/>
        <v>0</v>
      </c>
      <c r="F49" s="1">
        <f t="shared" si="16"/>
        <v>0</v>
      </c>
      <c r="G49" s="1">
        <f t="shared" si="16"/>
        <v>0</v>
      </c>
      <c r="H49" s="1">
        <f t="shared" si="16"/>
        <v>0</v>
      </c>
      <c r="I49" s="1">
        <f t="shared" si="16"/>
        <v>0</v>
      </c>
      <c r="J49" s="1">
        <f t="shared" si="16"/>
        <v>0</v>
      </c>
      <c r="K49" s="1">
        <f t="shared" si="16"/>
        <v>0</v>
      </c>
      <c r="L49" s="1">
        <f t="shared" si="16"/>
        <v>0</v>
      </c>
      <c r="M49" s="1">
        <f t="shared" si="16"/>
        <v>0</v>
      </c>
      <c r="N49" s="1">
        <f t="shared" si="16"/>
        <v>0</v>
      </c>
      <c r="O49" s="1">
        <f t="shared" si="16"/>
        <v>0</v>
      </c>
      <c r="P49" s="1">
        <f t="shared" si="16"/>
        <v>0</v>
      </c>
      <c r="Q49" s="1">
        <f t="shared" si="16"/>
        <v>0</v>
      </c>
      <c r="R49" s="1">
        <f t="shared" si="16"/>
        <v>0</v>
      </c>
      <c r="S49" s="1">
        <f t="shared" si="16"/>
        <v>0</v>
      </c>
      <c r="T49" s="1">
        <f t="shared" si="16"/>
        <v>0</v>
      </c>
      <c r="U49" s="1">
        <f t="shared" si="16"/>
        <v>0</v>
      </c>
      <c r="V49" s="1">
        <f t="shared" si="16"/>
        <v>0</v>
      </c>
      <c r="W49" s="1">
        <f t="shared" si="16"/>
        <v>0</v>
      </c>
      <c r="X49" s="1">
        <f t="shared" si="16"/>
        <v>0</v>
      </c>
      <c r="Y49" s="1">
        <f t="shared" si="16"/>
        <v>0</v>
      </c>
      <c r="Z49" s="1">
        <f t="shared" si="16"/>
        <v>0</v>
      </c>
      <c r="AA49" s="1">
        <f t="shared" si="16"/>
        <v>0</v>
      </c>
      <c r="AB49" s="45">
        <f t="shared" si="16"/>
        <v>0</v>
      </c>
      <c r="AC49" s="1">
        <f t="shared" si="16"/>
        <v>0</v>
      </c>
      <c r="AD49" s="1">
        <f t="shared" si="16"/>
        <v>0</v>
      </c>
    </row>
    <row r="50" spans="2:30" outlineLevel="1" x14ac:dyDescent="0.3">
      <c r="B50" s="16" t="s">
        <v>9</v>
      </c>
      <c r="C50" s="1">
        <f t="shared" ref="C50:AA50" si="17">SUM(C51:C52)</f>
        <v>0</v>
      </c>
      <c r="D50" s="1">
        <f t="shared" si="17"/>
        <v>48.25</v>
      </c>
      <c r="E50" s="1">
        <f t="shared" si="17"/>
        <v>0</v>
      </c>
      <c r="F50" s="1">
        <f t="shared" si="17"/>
        <v>0</v>
      </c>
      <c r="G50" s="1">
        <f t="shared" si="17"/>
        <v>0</v>
      </c>
      <c r="H50" s="1">
        <f t="shared" si="17"/>
        <v>0</v>
      </c>
      <c r="I50" s="1">
        <f t="shared" si="17"/>
        <v>0</v>
      </c>
      <c r="J50" s="1">
        <f t="shared" si="17"/>
        <v>0</v>
      </c>
      <c r="K50" s="1">
        <f t="shared" si="17"/>
        <v>3247.72</v>
      </c>
      <c r="L50" s="1">
        <f t="shared" si="17"/>
        <v>0</v>
      </c>
      <c r="M50" s="1">
        <f t="shared" si="17"/>
        <v>0</v>
      </c>
      <c r="N50" s="1">
        <f t="shared" si="17"/>
        <v>0</v>
      </c>
      <c r="O50" s="1">
        <f t="shared" si="17"/>
        <v>3295.97</v>
      </c>
      <c r="P50" s="1">
        <f t="shared" si="17"/>
        <v>0</v>
      </c>
      <c r="Q50" s="1">
        <f t="shared" si="17"/>
        <v>0</v>
      </c>
      <c r="R50" s="1">
        <f t="shared" si="17"/>
        <v>0</v>
      </c>
      <c r="S50" s="1">
        <f t="shared" si="17"/>
        <v>0</v>
      </c>
      <c r="T50" s="1">
        <f t="shared" si="17"/>
        <v>0</v>
      </c>
      <c r="U50" s="1">
        <f t="shared" si="17"/>
        <v>0</v>
      </c>
      <c r="V50" s="1">
        <f t="shared" si="17"/>
        <v>0</v>
      </c>
      <c r="W50" s="1">
        <f t="shared" si="17"/>
        <v>0</v>
      </c>
      <c r="X50" s="1">
        <f t="shared" si="17"/>
        <v>0</v>
      </c>
      <c r="Y50" s="1">
        <f t="shared" si="17"/>
        <v>0</v>
      </c>
      <c r="Z50" s="1">
        <f t="shared" si="17"/>
        <v>0</v>
      </c>
      <c r="AA50" s="1">
        <f t="shared" si="17"/>
        <v>0</v>
      </c>
      <c r="AB50" s="45">
        <f>AB51+AB52+AB53</f>
        <v>18800</v>
      </c>
      <c r="AC50" s="1">
        <f t="shared" ref="AC50:AD50" si="18">AC51+AC52+AC53</f>
        <v>15979</v>
      </c>
      <c r="AD50" s="1">
        <f t="shared" si="18"/>
        <v>5100</v>
      </c>
    </row>
    <row r="51" spans="2:30" x14ac:dyDescent="0.3">
      <c r="B51" s="19" t="str">
        <f t="array" ref="B51">7600&amp;" - "&amp;"Lisensavgift og royalties"</f>
        <v>7600 - Lisensavgift og royalties</v>
      </c>
      <c r="C51" s="2"/>
      <c r="D51" s="2"/>
      <c r="E51" s="2"/>
      <c r="F51" s="2"/>
      <c r="G51" s="2"/>
      <c r="H51" s="2"/>
      <c r="I51" s="2"/>
      <c r="J51" s="2"/>
      <c r="K51" s="2">
        <v>3200</v>
      </c>
      <c r="L51" s="2"/>
      <c r="M51" s="2"/>
      <c r="N51" s="2"/>
      <c r="O51" s="2">
        <v>3200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54"/>
      <c r="AC51" s="18"/>
      <c r="AD51" s="18">
        <v>5000</v>
      </c>
    </row>
    <row r="52" spans="2:30" x14ac:dyDescent="0.3">
      <c r="B52" s="19" t="str">
        <f t="array" ref="B52">7770&amp;" - "&amp;"Bank og kortgebyrer"</f>
        <v>7770 - Bank og kortgebyrer</v>
      </c>
      <c r="C52" s="2"/>
      <c r="D52" s="2">
        <v>48.25</v>
      </c>
      <c r="E52" s="2"/>
      <c r="F52" s="2"/>
      <c r="G52" s="2"/>
      <c r="H52" s="2"/>
      <c r="I52" s="2"/>
      <c r="J52" s="2"/>
      <c r="K52" s="2">
        <v>47.72</v>
      </c>
      <c r="L52" s="2"/>
      <c r="M52" s="2"/>
      <c r="N52" s="2"/>
      <c r="O52" s="2">
        <v>95.97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54">
        <v>300</v>
      </c>
      <c r="AC52" s="18">
        <v>256</v>
      </c>
      <c r="AD52" s="18">
        <v>100</v>
      </c>
    </row>
    <row r="53" spans="2:30" x14ac:dyDescent="0.3">
      <c r="B53" s="19" t="str">
        <f t="array" ref="B53">7790&amp;" - "&amp;"Diverse kostnader"</f>
        <v>7790 - Diverse kostnader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54">
        <f>8000+500+2000+4000+2500+1000+500</f>
        <v>18500</v>
      </c>
      <c r="AC53" s="18">
        <f>7603+1070+3600+2250+1200</f>
        <v>15723</v>
      </c>
      <c r="AD53" s="18"/>
    </row>
    <row r="54" spans="2:30" x14ac:dyDescent="0.3">
      <c r="B54" s="25" t="s">
        <v>3</v>
      </c>
      <c r="C54" s="6" t="e">
        <f>C50+C49+C45+#REF!+#REF!+C42+C34+C29+C26</f>
        <v>#REF!</v>
      </c>
      <c r="D54" s="6" t="e">
        <f>D50+D49+D45+#REF!+#REF!+D42+D34+D29+D26</f>
        <v>#REF!</v>
      </c>
      <c r="E54" s="6" t="e">
        <f>E50+E49+E45+#REF!+#REF!+E42+E34+E29+E26</f>
        <v>#REF!</v>
      </c>
      <c r="F54" s="6" t="e">
        <f>F50+F49+F45+#REF!+#REF!+F42+F34+F29+F26</f>
        <v>#REF!</v>
      </c>
      <c r="G54" s="6" t="e">
        <f>G50+G49+G45+#REF!+#REF!+G42+G34+G29+G26</f>
        <v>#REF!</v>
      </c>
      <c r="H54" s="6" t="e">
        <f>H50+H49+H45+#REF!+#REF!+H42+H34+H29+H26</f>
        <v>#REF!</v>
      </c>
      <c r="I54" s="6" t="e">
        <f>I50+I49+I45+#REF!+#REF!+I42+I34+I29+I26</f>
        <v>#REF!</v>
      </c>
      <c r="J54" s="6" t="e">
        <f>J50+J49+J45+#REF!+#REF!+J42+J34+J29+J26</f>
        <v>#REF!</v>
      </c>
      <c r="K54" s="6" t="e">
        <f>K50+K49+K45+#REF!+#REF!+K42+K34+K29+K26</f>
        <v>#REF!</v>
      </c>
      <c r="L54" s="6" t="e">
        <f>L50+L49+L45+#REF!+#REF!+L42+L34+L29+L26</f>
        <v>#REF!</v>
      </c>
      <c r="M54" s="6" t="e">
        <f>M50+M49+M45+#REF!+#REF!+M42+M34+M29+M26</f>
        <v>#REF!</v>
      </c>
      <c r="N54" s="6" t="e">
        <f>N50+N49+N45+#REF!+#REF!+N42+N34+N29+N26</f>
        <v>#REF!</v>
      </c>
      <c r="O54" s="6">
        <f>O50+O45+O42+O34+O29+O26</f>
        <v>169117.77000000002</v>
      </c>
      <c r="P54" s="6">
        <f t="shared" ref="P54:AD54" si="19">P50+P45+P42+P34+P29+P26</f>
        <v>0</v>
      </c>
      <c r="Q54" s="6">
        <f t="shared" si="19"/>
        <v>0</v>
      </c>
      <c r="R54" s="6">
        <f t="shared" si="19"/>
        <v>0</v>
      </c>
      <c r="S54" s="6">
        <f t="shared" si="19"/>
        <v>0</v>
      </c>
      <c r="T54" s="6">
        <f t="shared" si="19"/>
        <v>0</v>
      </c>
      <c r="U54" s="6">
        <f t="shared" si="19"/>
        <v>0</v>
      </c>
      <c r="V54" s="6">
        <f t="shared" si="19"/>
        <v>0</v>
      </c>
      <c r="W54" s="6">
        <f t="shared" si="19"/>
        <v>0</v>
      </c>
      <c r="X54" s="6">
        <f t="shared" si="19"/>
        <v>0</v>
      </c>
      <c r="Y54" s="6">
        <f t="shared" si="19"/>
        <v>0</v>
      </c>
      <c r="Z54" s="6">
        <f t="shared" si="19"/>
        <v>0</v>
      </c>
      <c r="AA54" s="6">
        <f t="shared" si="19"/>
        <v>0</v>
      </c>
      <c r="AB54" s="6">
        <f t="shared" si="19"/>
        <v>332600</v>
      </c>
      <c r="AC54" s="6">
        <f t="shared" si="19"/>
        <v>261526</v>
      </c>
      <c r="AD54" s="6">
        <f t="shared" si="19"/>
        <v>193600</v>
      </c>
    </row>
    <row r="55" spans="2:30" x14ac:dyDescent="0.3"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55"/>
      <c r="AC55" s="22"/>
      <c r="AD55" s="22"/>
    </row>
    <row r="56" spans="2:30" ht="16.2" thickBot="1" x14ac:dyDescent="0.35">
      <c r="B56" s="31" t="s">
        <v>121</v>
      </c>
      <c r="C56" s="5" t="e">
        <f>#REF!+C54+C22</f>
        <v>#REF!</v>
      </c>
      <c r="D56" s="5" t="e">
        <f>#REF!+D54+D22</f>
        <v>#REF!</v>
      </c>
      <c r="E56" s="5" t="e">
        <f>#REF!+E54+E22</f>
        <v>#REF!</v>
      </c>
      <c r="F56" s="5" t="e">
        <f>#REF!+F54+F22</f>
        <v>#REF!</v>
      </c>
      <c r="G56" s="5" t="e">
        <f>#REF!+G54+G22</f>
        <v>#REF!</v>
      </c>
      <c r="H56" s="5" t="e">
        <f>#REF!+H54+H22</f>
        <v>#REF!</v>
      </c>
      <c r="I56" s="5" t="e">
        <f>#REF!+I54+I22</f>
        <v>#REF!</v>
      </c>
      <c r="J56" s="5" t="e">
        <f>#REF!+J54+J22</f>
        <v>#REF!</v>
      </c>
      <c r="K56" s="5" t="e">
        <f>#REF!+K54+K22</f>
        <v>#REF!</v>
      </c>
      <c r="L56" s="5" t="e">
        <f>#REF!+L54+L22</f>
        <v>#REF!</v>
      </c>
      <c r="M56" s="5" t="e">
        <f>#REF!+M54+M22</f>
        <v>#REF!</v>
      </c>
      <c r="N56" s="5" t="e">
        <f>#REF!+N54+N22</f>
        <v>#REF!</v>
      </c>
      <c r="O56" s="5">
        <f>O22+O54</f>
        <v>-116427.45000000001</v>
      </c>
      <c r="P56" s="5">
        <f t="shared" ref="P56:AD56" si="20">P22+P54</f>
        <v>0</v>
      </c>
      <c r="Q56" s="5">
        <f t="shared" si="20"/>
        <v>0</v>
      </c>
      <c r="R56" s="5">
        <f t="shared" si="20"/>
        <v>0</v>
      </c>
      <c r="S56" s="5">
        <f t="shared" si="20"/>
        <v>0</v>
      </c>
      <c r="T56" s="5">
        <f t="shared" si="20"/>
        <v>0</v>
      </c>
      <c r="U56" s="5">
        <f t="shared" si="20"/>
        <v>0</v>
      </c>
      <c r="V56" s="5">
        <f t="shared" si="20"/>
        <v>0</v>
      </c>
      <c r="W56" s="5">
        <f t="shared" si="20"/>
        <v>0</v>
      </c>
      <c r="X56" s="5">
        <f t="shared" si="20"/>
        <v>0</v>
      </c>
      <c r="Y56" s="5">
        <f t="shared" si="20"/>
        <v>0</v>
      </c>
      <c r="Z56" s="5">
        <f t="shared" si="20"/>
        <v>0</v>
      </c>
      <c r="AA56" s="5">
        <f t="shared" si="20"/>
        <v>0</v>
      </c>
      <c r="AB56" s="5">
        <f t="shared" si="20"/>
        <v>16600</v>
      </c>
      <c r="AC56" s="5">
        <f t="shared" si="20"/>
        <v>-23985</v>
      </c>
      <c r="AD56" s="5">
        <f t="shared" si="20"/>
        <v>-48400</v>
      </c>
    </row>
    <row r="57" spans="2:30" ht="15" thickTop="1" x14ac:dyDescent="0.3"/>
  </sheetData>
  <sheetProtection algorithmName="SHA-512" hashValue="XShy4KbUh1iSkh8b2A67bVLp/CCk5csEcSe9I7ekY4BC47n9YPdXoLHPxfsg8t5u186AiisuZAR8FRDz6cx5UA==" saltValue="To+dcROoZ6+BZ5K5AD7WAg==" spinCount="100000" sheet="1" objects="1" scenarios="1"/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BD367-FD24-43E4-A653-4AE64919F9C9}">
  <dimension ref="A1:AD78"/>
  <sheetViews>
    <sheetView zoomScaleNormal="100" workbookViewId="0">
      <selection activeCell="A2" sqref="A2"/>
    </sheetView>
  </sheetViews>
  <sheetFormatPr baseColWidth="10" defaultColWidth="9.109375" defaultRowHeight="14.4" outlineLevelRow="1" outlineLevelCol="1" x14ac:dyDescent="0.3"/>
  <cols>
    <col min="1" max="1" width="34.44140625" customWidth="1"/>
    <col min="2" max="13" width="10.109375" hidden="1" customWidth="1" outlineLevel="1"/>
    <col min="14" max="14" width="10.44140625" customWidth="1" collapsed="1"/>
    <col min="15" max="26" width="11" hidden="1" customWidth="1" outlineLevel="1"/>
    <col min="27" max="27" width="10.44140625" customWidth="1" collapsed="1"/>
    <col min="28" max="29" width="10.44140625" customWidth="1"/>
    <col min="30" max="30" width="6.6640625" style="110" customWidth="1"/>
  </cols>
  <sheetData>
    <row r="1" spans="1:30" ht="25.8" x14ac:dyDescent="0.5">
      <c r="A1" s="24" t="s">
        <v>98</v>
      </c>
    </row>
    <row r="2" spans="1:30" ht="21" x14ac:dyDescent="0.4">
      <c r="A2" s="33"/>
    </row>
    <row r="6" spans="1:30" ht="15.6" x14ac:dyDescent="0.3">
      <c r="A6" s="29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9" t="s">
        <v>14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 t="s">
        <v>13</v>
      </c>
      <c r="AB6" s="30" t="s">
        <v>14</v>
      </c>
      <c r="AC6" s="9" t="s">
        <v>13</v>
      </c>
      <c r="AD6" s="111" t="s">
        <v>13</v>
      </c>
    </row>
    <row r="7" spans="1:30" ht="15.6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20" t="s">
        <v>4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20" t="s">
        <v>11</v>
      </c>
      <c r="AB7" s="32">
        <v>2019</v>
      </c>
      <c r="AC7" s="20">
        <v>2021</v>
      </c>
      <c r="AD7" s="112" t="s">
        <v>101</v>
      </c>
    </row>
    <row r="8" spans="1:30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2020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>
        <v>2020</v>
      </c>
      <c r="AC8" s="4"/>
    </row>
    <row r="9" spans="1:30" ht="21" x14ac:dyDescent="0.4">
      <c r="A9" s="21" t="s">
        <v>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26"/>
      <c r="AC9" s="11"/>
      <c r="AD9" s="113"/>
    </row>
    <row r="10" spans="1:30" x14ac:dyDescent="0.3">
      <c r="A10" s="16" t="s">
        <v>12</v>
      </c>
      <c r="B10" s="99">
        <f t="shared" ref="B10:AC10" si="0">SUM(B11:B12)</f>
        <v>-11375</v>
      </c>
      <c r="C10" s="99">
        <f t="shared" si="0"/>
        <v>-7180.18</v>
      </c>
      <c r="D10" s="99">
        <f t="shared" si="0"/>
        <v>-11715.72</v>
      </c>
      <c r="E10" s="99">
        <f t="shared" si="0"/>
        <v>-4553.6099999999997</v>
      </c>
      <c r="F10" s="99">
        <f t="shared" si="0"/>
        <v>-200</v>
      </c>
      <c r="G10" s="99">
        <f t="shared" si="0"/>
        <v>0</v>
      </c>
      <c r="H10" s="99">
        <f t="shared" si="0"/>
        <v>0</v>
      </c>
      <c r="I10" s="99">
        <f t="shared" si="0"/>
        <v>0</v>
      </c>
      <c r="J10" s="99">
        <f t="shared" si="0"/>
        <v>-17207</v>
      </c>
      <c r="K10" s="99">
        <f t="shared" si="0"/>
        <v>-3271.51</v>
      </c>
      <c r="L10" s="99">
        <f t="shared" si="0"/>
        <v>0</v>
      </c>
      <c r="M10" s="99">
        <f t="shared" si="0"/>
        <v>0</v>
      </c>
      <c r="N10" s="99">
        <f t="shared" si="0"/>
        <v>-55503.020000000004</v>
      </c>
      <c r="O10" s="99">
        <f t="shared" si="0"/>
        <v>0</v>
      </c>
      <c r="P10" s="99">
        <f t="shared" si="0"/>
        <v>0</v>
      </c>
      <c r="Q10" s="99">
        <f t="shared" si="0"/>
        <v>0</v>
      </c>
      <c r="R10" s="99">
        <f t="shared" si="0"/>
        <v>0</v>
      </c>
      <c r="S10" s="99">
        <f t="shared" si="0"/>
        <v>0</v>
      </c>
      <c r="T10" s="99">
        <f t="shared" si="0"/>
        <v>0</v>
      </c>
      <c r="U10" s="99">
        <f t="shared" si="0"/>
        <v>0</v>
      </c>
      <c r="V10" s="99">
        <f t="shared" si="0"/>
        <v>0</v>
      </c>
      <c r="W10" s="99">
        <f t="shared" si="0"/>
        <v>0</v>
      </c>
      <c r="X10" s="99">
        <f t="shared" si="0"/>
        <v>0</v>
      </c>
      <c r="Y10" s="99">
        <f t="shared" si="0"/>
        <v>0</v>
      </c>
      <c r="Z10" s="99">
        <f t="shared" si="0"/>
        <v>0</v>
      </c>
      <c r="AA10" s="99">
        <f>SUM(AA11:AA12)</f>
        <v>-142000</v>
      </c>
      <c r="AB10" s="100">
        <f>SUM(AB11:AB12)</f>
        <v>-114769</v>
      </c>
      <c r="AC10" s="99">
        <f t="shared" si="0"/>
        <v>-108000</v>
      </c>
    </row>
    <row r="11" spans="1:30" outlineLevel="1" x14ac:dyDescent="0.3">
      <c r="A11" s="19" t="str">
        <f t="array" ref="A11">3110&amp;" - "&amp;"Salgsinntekter, avgiftsfri"</f>
        <v>3110 - Salgsinntekter, avgiftsfri</v>
      </c>
      <c r="B11" s="2">
        <v>-5375</v>
      </c>
      <c r="C11" s="2">
        <v>-7180.18</v>
      </c>
      <c r="D11" s="2">
        <v>-11715.72</v>
      </c>
      <c r="E11" s="2">
        <v>-4553.6099999999997</v>
      </c>
      <c r="F11" s="2">
        <v>-200</v>
      </c>
      <c r="G11" s="2"/>
      <c r="H11" s="2"/>
      <c r="I11" s="2"/>
      <c r="J11" s="2">
        <v>-295</v>
      </c>
      <c r="K11" s="2">
        <v>-3271.51</v>
      </c>
      <c r="L11" s="2"/>
      <c r="M11" s="2"/>
      <c r="N11" s="2">
        <v>-32591.02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>
        <f>-12000-90000-40000</f>
        <v>-142000</v>
      </c>
      <c r="AB11" s="17">
        <f>-7340-78329-29100</f>
        <v>-114769</v>
      </c>
      <c r="AC11" s="18">
        <v>-90000</v>
      </c>
    </row>
    <row r="12" spans="1:30" outlineLevel="1" x14ac:dyDescent="0.3">
      <c r="A12" s="19" t="str">
        <f t="array" ref="A12">3120&amp;" - "&amp;"Sponsorinntekter, avgiftsfri"</f>
        <v>3120 - Sponsorinntekter, avgiftsfri</v>
      </c>
      <c r="B12" s="2">
        <v>-6000</v>
      </c>
      <c r="C12" s="2"/>
      <c r="D12" s="2"/>
      <c r="E12" s="2"/>
      <c r="F12" s="2"/>
      <c r="G12" s="2"/>
      <c r="H12" s="2"/>
      <c r="I12" s="2"/>
      <c r="J12" s="2">
        <v>-16912</v>
      </c>
      <c r="K12" s="2"/>
      <c r="L12" s="2"/>
      <c r="M12" s="2"/>
      <c r="N12" s="2">
        <v>-22912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>
        <f t="shared" ref="AA12" si="1">SUM(O12)</f>
        <v>0</v>
      </c>
      <c r="AB12" s="17">
        <v>0</v>
      </c>
      <c r="AC12" s="18">
        <v>-18000</v>
      </c>
    </row>
    <row r="13" spans="1:30" x14ac:dyDescent="0.3">
      <c r="A13" s="16" t="s">
        <v>5</v>
      </c>
      <c r="B13" s="99">
        <f t="shared" ref="B13:AC13" si="2">SUM(B14:B15)</f>
        <v>0</v>
      </c>
      <c r="C13" s="99">
        <f t="shared" si="2"/>
        <v>0</v>
      </c>
      <c r="D13" s="99">
        <f t="shared" si="2"/>
        <v>0</v>
      </c>
      <c r="E13" s="99">
        <f t="shared" si="2"/>
        <v>0</v>
      </c>
      <c r="F13" s="99">
        <f t="shared" si="2"/>
        <v>-31396.04</v>
      </c>
      <c r="G13" s="99">
        <f t="shared" si="2"/>
        <v>0</v>
      </c>
      <c r="H13" s="99">
        <f t="shared" si="2"/>
        <v>0</v>
      </c>
      <c r="I13" s="99">
        <f t="shared" si="2"/>
        <v>0</v>
      </c>
      <c r="J13" s="99">
        <f t="shared" si="2"/>
        <v>0</v>
      </c>
      <c r="K13" s="99">
        <f t="shared" si="2"/>
        <v>0</v>
      </c>
      <c r="L13" s="99">
        <f t="shared" si="2"/>
        <v>0</v>
      </c>
      <c r="M13" s="99">
        <f t="shared" si="2"/>
        <v>-66900</v>
      </c>
      <c r="N13" s="99">
        <f t="shared" si="2"/>
        <v>-98296.040000000008</v>
      </c>
      <c r="O13" s="99">
        <f t="shared" si="2"/>
        <v>0</v>
      </c>
      <c r="P13" s="99">
        <f t="shared" si="2"/>
        <v>0</v>
      </c>
      <c r="Q13" s="99">
        <f t="shared" si="2"/>
        <v>0</v>
      </c>
      <c r="R13" s="99">
        <f t="shared" si="2"/>
        <v>0</v>
      </c>
      <c r="S13" s="99">
        <f t="shared" si="2"/>
        <v>0</v>
      </c>
      <c r="T13" s="99">
        <f t="shared" si="2"/>
        <v>0</v>
      </c>
      <c r="U13" s="99">
        <f t="shared" si="2"/>
        <v>0</v>
      </c>
      <c r="V13" s="99">
        <f t="shared" si="2"/>
        <v>0</v>
      </c>
      <c r="W13" s="99">
        <f t="shared" si="2"/>
        <v>0</v>
      </c>
      <c r="X13" s="99">
        <f t="shared" si="2"/>
        <v>0</v>
      </c>
      <c r="Y13" s="99">
        <f t="shared" si="2"/>
        <v>0</v>
      </c>
      <c r="Z13" s="99">
        <f t="shared" si="2"/>
        <v>0</v>
      </c>
      <c r="AA13" s="99">
        <f t="shared" si="2"/>
        <v>-152000</v>
      </c>
      <c r="AB13" s="100">
        <f t="shared" si="2"/>
        <v>-163432</v>
      </c>
      <c r="AC13" s="99">
        <f t="shared" si="2"/>
        <v>-252000</v>
      </c>
    </row>
    <row r="14" spans="1:30" outlineLevel="1" x14ac:dyDescent="0.3">
      <c r="A14" s="19" t="str">
        <f t="array" ref="A14">3400&amp;" - "&amp;"Tilskudd"</f>
        <v>3400 - Tilskudd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-66900</v>
      </c>
      <c r="N14" s="2">
        <v>-66900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>
        <f>-110000</f>
        <v>-110000</v>
      </c>
      <c r="AB14" s="17">
        <f>-111925</f>
        <v>-111925</v>
      </c>
      <c r="AC14" s="18">
        <f>-140000-70000</f>
        <v>-210000</v>
      </c>
    </row>
    <row r="15" spans="1:30" outlineLevel="1" x14ac:dyDescent="0.3">
      <c r="A15" s="19" t="str">
        <f>3440&amp;" - "&amp;"Andre tilskudd"</f>
        <v>3440 - Andre tilskudd</v>
      </c>
      <c r="B15" s="2"/>
      <c r="C15" s="2"/>
      <c r="D15" s="2"/>
      <c r="E15" s="2"/>
      <c r="F15" s="2">
        <v>-31396.04</v>
      </c>
      <c r="G15" s="2"/>
      <c r="H15" s="2"/>
      <c r="I15" s="2"/>
      <c r="J15" s="2"/>
      <c r="K15" s="2"/>
      <c r="L15" s="2"/>
      <c r="M15" s="2"/>
      <c r="N15" s="2">
        <v>-31396.04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>
        <f>-30000-12000</f>
        <v>-42000</v>
      </c>
      <c r="AB15" s="17">
        <f>-39288-12219</f>
        <v>-51507</v>
      </c>
      <c r="AC15" s="18">
        <v>-42000</v>
      </c>
    </row>
    <row r="16" spans="1:30" x14ac:dyDescent="0.3">
      <c r="A16" s="16" t="s">
        <v>10</v>
      </c>
      <c r="B16" s="99">
        <f t="shared" ref="B16:AC16" si="3">SUM(B17:B20)</f>
        <v>0</v>
      </c>
      <c r="C16" s="99">
        <f t="shared" si="3"/>
        <v>-28000</v>
      </c>
      <c r="D16" s="99">
        <f t="shared" si="3"/>
        <v>-7250</v>
      </c>
      <c r="E16" s="99">
        <f t="shared" si="3"/>
        <v>-17082.419999999998</v>
      </c>
      <c r="F16" s="99">
        <f t="shared" si="3"/>
        <v>-24226.04</v>
      </c>
      <c r="G16" s="99">
        <f t="shared" si="3"/>
        <v>-1476.65</v>
      </c>
      <c r="H16" s="99">
        <f t="shared" si="3"/>
        <v>0</v>
      </c>
      <c r="I16" s="99">
        <f t="shared" si="3"/>
        <v>-1754.41</v>
      </c>
      <c r="J16" s="99">
        <f t="shared" si="3"/>
        <v>-31599.79</v>
      </c>
      <c r="K16" s="99">
        <f t="shared" si="3"/>
        <v>-15303.07</v>
      </c>
      <c r="L16" s="99">
        <f t="shared" si="3"/>
        <v>-9770.86</v>
      </c>
      <c r="M16" s="99">
        <f t="shared" si="3"/>
        <v>-76247.19</v>
      </c>
      <c r="N16" s="99">
        <f t="shared" si="3"/>
        <v>-276710.40000000002</v>
      </c>
      <c r="O16" s="99">
        <f t="shared" si="3"/>
        <v>0</v>
      </c>
      <c r="P16" s="99">
        <f t="shared" si="3"/>
        <v>0</v>
      </c>
      <c r="Q16" s="99">
        <f t="shared" si="3"/>
        <v>0</v>
      </c>
      <c r="R16" s="99">
        <f t="shared" si="3"/>
        <v>0</v>
      </c>
      <c r="S16" s="99">
        <f t="shared" si="3"/>
        <v>0</v>
      </c>
      <c r="T16" s="99">
        <f t="shared" si="3"/>
        <v>0</v>
      </c>
      <c r="U16" s="99">
        <f t="shared" si="3"/>
        <v>0</v>
      </c>
      <c r="V16" s="99">
        <f t="shared" si="3"/>
        <v>0</v>
      </c>
      <c r="W16" s="99">
        <f t="shared" si="3"/>
        <v>0</v>
      </c>
      <c r="X16" s="99">
        <f t="shared" si="3"/>
        <v>0</v>
      </c>
      <c r="Y16" s="99">
        <f t="shared" si="3"/>
        <v>0</v>
      </c>
      <c r="Z16" s="99">
        <f t="shared" si="3"/>
        <v>0</v>
      </c>
      <c r="AA16" s="99">
        <f t="shared" si="3"/>
        <v>-240000</v>
      </c>
      <c r="AB16" s="100">
        <f t="shared" ref="AB16" si="4">SUM(AB17:AB20)</f>
        <v>-206259</v>
      </c>
      <c r="AC16" s="99">
        <f t="shared" si="3"/>
        <v>-199500</v>
      </c>
    </row>
    <row r="17" spans="1:30" outlineLevel="1" x14ac:dyDescent="0.3">
      <c r="A17" s="19" t="str">
        <f t="array" ref="A17">3930&amp;" - "&amp;"Treningsavgifter"</f>
        <v>3930 - Treningsavgifter</v>
      </c>
      <c r="B17" s="2"/>
      <c r="C17" s="2"/>
      <c r="D17" s="2">
        <v>-4500</v>
      </c>
      <c r="E17" s="2">
        <v>-3456.1</v>
      </c>
      <c r="F17" s="2"/>
      <c r="G17" s="2"/>
      <c r="H17" s="2"/>
      <c r="I17" s="2"/>
      <c r="J17" s="2">
        <v>-8402</v>
      </c>
      <c r="K17" s="2">
        <v>-13302.1</v>
      </c>
      <c r="L17" s="2">
        <v>-8857.15</v>
      </c>
      <c r="M17" s="2">
        <v>-2425.25</v>
      </c>
      <c r="N17" s="2">
        <v>-40942.6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>
        <v>-80000</v>
      </c>
      <c r="AB17" s="17">
        <v>-63125</v>
      </c>
      <c r="AC17" s="18">
        <v>-65000</v>
      </c>
    </row>
    <row r="18" spans="1:30" outlineLevel="1" x14ac:dyDescent="0.3">
      <c r="A18" s="19" t="str">
        <f>3960&amp;" - "&amp;"Lotterier, bingo etc"</f>
        <v>3960 - Lotterier, bingo etc</v>
      </c>
      <c r="B18" s="2"/>
      <c r="C18" s="2"/>
      <c r="D18" s="2"/>
      <c r="E18" s="2"/>
      <c r="F18" s="2">
        <v>-19576.04</v>
      </c>
      <c r="G18" s="2">
        <v>-1476.65</v>
      </c>
      <c r="H18" s="2"/>
      <c r="I18" s="2">
        <v>-1754.41</v>
      </c>
      <c r="J18" s="2">
        <v>-23197.79</v>
      </c>
      <c r="K18" s="2">
        <v>-2000.97</v>
      </c>
      <c r="L18" s="2"/>
      <c r="M18" s="2">
        <v>-22718.46</v>
      </c>
      <c r="N18" s="2">
        <v>-70724.320000000007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>
        <f>-62000-12000</f>
        <v>-74000</v>
      </c>
      <c r="AB18" s="17">
        <f>-66081-2837</f>
        <v>-68918</v>
      </c>
      <c r="AC18" s="18">
        <f>-63500-5000</f>
        <v>-68500</v>
      </c>
    </row>
    <row r="19" spans="1:30" outlineLevel="1" x14ac:dyDescent="0.3">
      <c r="A19" s="19" t="str">
        <f t="array" ref="A19">3970&amp;" - "&amp;"Momskompensasjon"</f>
        <v>3970 - Momskompensasjon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>
        <v>-27633.48</v>
      </c>
      <c r="N19" s="2">
        <v>-27633.48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>
        <v>-26000</v>
      </c>
      <c r="AB19" s="17">
        <v>-35200</v>
      </c>
      <c r="AC19" s="18">
        <v>-26000</v>
      </c>
    </row>
    <row r="20" spans="1:30" outlineLevel="1" x14ac:dyDescent="0.3">
      <c r="A20" s="19" t="str">
        <f t="array" ref="A20">3990&amp;" - "&amp;"Andre inntekter"</f>
        <v>3990 - Andre inntekter</v>
      </c>
      <c r="B20" s="2"/>
      <c r="C20" s="2">
        <v>-28000</v>
      </c>
      <c r="D20" s="2">
        <v>-2750</v>
      </c>
      <c r="E20" s="2">
        <v>-13626.32</v>
      </c>
      <c r="F20" s="2">
        <v>-4650</v>
      </c>
      <c r="G20" s="2"/>
      <c r="H20" s="2"/>
      <c r="I20" s="2"/>
      <c r="J20" s="2"/>
      <c r="K20" s="2"/>
      <c r="L20" s="2">
        <v>-913.71</v>
      </c>
      <c r="M20" s="2">
        <v>-23470</v>
      </c>
      <c r="N20" s="2">
        <v>-137410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>
        <f>-10000-50000</f>
        <v>-60000</v>
      </c>
      <c r="AB20" s="17">
        <f>-13117-25899</f>
        <v>-39016</v>
      </c>
      <c r="AC20" s="18">
        <f>-25000-15000</f>
        <v>-40000</v>
      </c>
      <c r="AD20" s="121" t="s">
        <v>102</v>
      </c>
    </row>
    <row r="21" spans="1:30" x14ac:dyDescent="0.3">
      <c r="A21" s="28" t="s">
        <v>7</v>
      </c>
      <c r="B21" s="101" t="e">
        <f>B16+#REF!+B13+B10</f>
        <v>#REF!</v>
      </c>
      <c r="C21" s="101" t="e">
        <f>C16+#REF!+C13+C10</f>
        <v>#REF!</v>
      </c>
      <c r="D21" s="101" t="e">
        <f>D16+#REF!+D13+D10</f>
        <v>#REF!</v>
      </c>
      <c r="E21" s="101" t="e">
        <f>E16+#REF!+E13+E10</f>
        <v>#REF!</v>
      </c>
      <c r="F21" s="101" t="e">
        <f>F16+#REF!+F13+F10</f>
        <v>#REF!</v>
      </c>
      <c r="G21" s="101" t="e">
        <f>G16+#REF!+G13+G10</f>
        <v>#REF!</v>
      </c>
      <c r="H21" s="101" t="e">
        <f>H16+#REF!+H13+H10</f>
        <v>#REF!</v>
      </c>
      <c r="I21" s="101" t="e">
        <f>I16+#REF!+I13+I10</f>
        <v>#REF!</v>
      </c>
      <c r="J21" s="101" t="e">
        <f>J16+#REF!+J13+J10</f>
        <v>#REF!</v>
      </c>
      <c r="K21" s="101" t="e">
        <f>K16+#REF!+K13+K10</f>
        <v>#REF!</v>
      </c>
      <c r="L21" s="101" t="e">
        <f>L16+#REF!+L13+L10</f>
        <v>#REF!</v>
      </c>
      <c r="M21" s="101" t="e">
        <f>M16+#REF!+M13+M10</f>
        <v>#REF!</v>
      </c>
      <c r="N21" s="101">
        <f>N16+N13+N10</f>
        <v>-430509.46000000008</v>
      </c>
      <c r="O21" s="101">
        <f t="shared" ref="O21:AC21" si="5">O16+O13+O10</f>
        <v>0</v>
      </c>
      <c r="P21" s="101">
        <f t="shared" si="5"/>
        <v>0</v>
      </c>
      <c r="Q21" s="101">
        <f t="shared" si="5"/>
        <v>0</v>
      </c>
      <c r="R21" s="101">
        <f t="shared" si="5"/>
        <v>0</v>
      </c>
      <c r="S21" s="101">
        <f t="shared" si="5"/>
        <v>0</v>
      </c>
      <c r="T21" s="101">
        <f t="shared" si="5"/>
        <v>0</v>
      </c>
      <c r="U21" s="101">
        <f t="shared" si="5"/>
        <v>0</v>
      </c>
      <c r="V21" s="101">
        <f t="shared" si="5"/>
        <v>0</v>
      </c>
      <c r="W21" s="101">
        <f t="shared" si="5"/>
        <v>0</v>
      </c>
      <c r="X21" s="101">
        <f t="shared" si="5"/>
        <v>0</v>
      </c>
      <c r="Y21" s="101">
        <f t="shared" si="5"/>
        <v>0</v>
      </c>
      <c r="Z21" s="101">
        <f t="shared" si="5"/>
        <v>0</v>
      </c>
      <c r="AA21" s="101">
        <f t="shared" si="5"/>
        <v>-534000</v>
      </c>
      <c r="AB21" s="101">
        <f t="shared" si="5"/>
        <v>-484460</v>
      </c>
      <c r="AC21" s="101">
        <f t="shared" si="5"/>
        <v>-559500</v>
      </c>
    </row>
    <row r="22" spans="1:30" x14ac:dyDescent="0.3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23"/>
      <c r="AC22" s="22"/>
    </row>
    <row r="23" spans="1:30" x14ac:dyDescent="0.3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23"/>
      <c r="AC23" s="22"/>
    </row>
    <row r="24" spans="1:30" ht="21" x14ac:dyDescent="0.4">
      <c r="A24" s="21" t="s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7"/>
      <c r="AC24" s="8"/>
    </row>
    <row r="25" spans="1:30" x14ac:dyDescent="0.3">
      <c r="A25" s="16" t="s">
        <v>18</v>
      </c>
      <c r="B25" s="99">
        <f t="shared" ref="B25:AC25" si="6">SUM(B26)</f>
        <v>7071.81</v>
      </c>
      <c r="C25" s="99">
        <f t="shared" si="6"/>
        <v>2998.02</v>
      </c>
      <c r="D25" s="99">
        <f t="shared" si="6"/>
        <v>148.94</v>
      </c>
      <c r="E25" s="99">
        <f t="shared" si="6"/>
        <v>0</v>
      </c>
      <c r="F25" s="99">
        <f t="shared" si="6"/>
        <v>0</v>
      </c>
      <c r="G25" s="99">
        <f t="shared" si="6"/>
        <v>0</v>
      </c>
      <c r="H25" s="99">
        <f t="shared" si="6"/>
        <v>0</v>
      </c>
      <c r="I25" s="99">
        <f t="shared" si="6"/>
        <v>0</v>
      </c>
      <c r="J25" s="99">
        <f t="shared" si="6"/>
        <v>0</v>
      </c>
      <c r="K25" s="99">
        <f t="shared" si="6"/>
        <v>0</v>
      </c>
      <c r="L25" s="99">
        <f t="shared" si="6"/>
        <v>0</v>
      </c>
      <c r="M25" s="99">
        <f t="shared" si="6"/>
        <v>0</v>
      </c>
      <c r="N25" s="99">
        <f t="shared" si="6"/>
        <v>10218.77</v>
      </c>
      <c r="O25" s="99">
        <f t="shared" si="6"/>
        <v>0</v>
      </c>
      <c r="P25" s="99">
        <f t="shared" si="6"/>
        <v>0</v>
      </c>
      <c r="Q25" s="99">
        <f t="shared" si="6"/>
        <v>0</v>
      </c>
      <c r="R25" s="99">
        <f t="shared" si="6"/>
        <v>0</v>
      </c>
      <c r="S25" s="99">
        <f t="shared" si="6"/>
        <v>0</v>
      </c>
      <c r="T25" s="99">
        <f t="shared" si="6"/>
        <v>0</v>
      </c>
      <c r="U25" s="99">
        <f t="shared" si="6"/>
        <v>0</v>
      </c>
      <c r="V25" s="99">
        <f t="shared" si="6"/>
        <v>0</v>
      </c>
      <c r="W25" s="99">
        <f t="shared" si="6"/>
        <v>0</v>
      </c>
      <c r="X25" s="99">
        <f t="shared" si="6"/>
        <v>0</v>
      </c>
      <c r="Y25" s="99">
        <f t="shared" si="6"/>
        <v>0</v>
      </c>
      <c r="Z25" s="99">
        <f t="shared" si="6"/>
        <v>0</v>
      </c>
      <c r="AA25" s="99">
        <f t="shared" si="6"/>
        <v>50000</v>
      </c>
      <c r="AB25" s="100">
        <f t="shared" si="6"/>
        <v>30952</v>
      </c>
      <c r="AC25" s="99">
        <f t="shared" si="6"/>
        <v>50000</v>
      </c>
    </row>
    <row r="26" spans="1:30" outlineLevel="1" x14ac:dyDescent="0.3">
      <c r="A26" s="19" t="str">
        <f t="array" ref="A26">4300&amp;" - "&amp;"Varekostnad, varer for videresalg"</f>
        <v>4300 - Varekostnad, varer for videresalg</v>
      </c>
      <c r="B26" s="2">
        <v>7071.81</v>
      </c>
      <c r="C26" s="2">
        <v>2998.02</v>
      </c>
      <c r="D26" s="2">
        <v>148.94</v>
      </c>
      <c r="E26" s="2"/>
      <c r="F26" s="2"/>
      <c r="G26" s="2"/>
      <c r="H26" s="2"/>
      <c r="I26" s="2"/>
      <c r="J26" s="2"/>
      <c r="K26" s="2"/>
      <c r="L26" s="2"/>
      <c r="M26" s="2"/>
      <c r="N26" s="2">
        <v>10218.77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f>45000+5000</f>
        <v>50000</v>
      </c>
      <c r="AB26" s="17">
        <f>26109+4843</f>
        <v>30952</v>
      </c>
      <c r="AC26" s="18">
        <v>50000</v>
      </c>
    </row>
    <row r="27" spans="1:30" x14ac:dyDescent="0.3">
      <c r="A27" s="16" t="s">
        <v>2</v>
      </c>
      <c r="B27" s="99">
        <f t="shared" ref="B27:Z27" si="7">SUM(B28:B31)</f>
        <v>3264.83</v>
      </c>
      <c r="C27" s="99">
        <f t="shared" si="7"/>
        <v>4378</v>
      </c>
      <c r="D27" s="99">
        <f t="shared" si="7"/>
        <v>28789.5</v>
      </c>
      <c r="E27" s="99">
        <f t="shared" si="7"/>
        <v>0</v>
      </c>
      <c r="F27" s="99">
        <f t="shared" si="7"/>
        <v>64318</v>
      </c>
      <c r="G27" s="99">
        <f t="shared" si="7"/>
        <v>0</v>
      </c>
      <c r="H27" s="99">
        <f t="shared" si="7"/>
        <v>0</v>
      </c>
      <c r="I27" s="99">
        <f t="shared" si="7"/>
        <v>0</v>
      </c>
      <c r="J27" s="99">
        <f t="shared" si="7"/>
        <v>0</v>
      </c>
      <c r="K27" s="99">
        <f t="shared" si="7"/>
        <v>780</v>
      </c>
      <c r="L27" s="99">
        <f t="shared" si="7"/>
        <v>0</v>
      </c>
      <c r="M27" s="99">
        <f t="shared" si="7"/>
        <v>0</v>
      </c>
      <c r="N27" s="99">
        <f t="shared" si="7"/>
        <v>101530.33</v>
      </c>
      <c r="O27" s="99">
        <f t="shared" si="7"/>
        <v>0</v>
      </c>
      <c r="P27" s="99">
        <f t="shared" si="7"/>
        <v>0</v>
      </c>
      <c r="Q27" s="99">
        <f t="shared" si="7"/>
        <v>0</v>
      </c>
      <c r="R27" s="99">
        <f t="shared" si="7"/>
        <v>0</v>
      </c>
      <c r="S27" s="99">
        <f t="shared" si="7"/>
        <v>0</v>
      </c>
      <c r="T27" s="99">
        <f t="shared" si="7"/>
        <v>0</v>
      </c>
      <c r="U27" s="99">
        <f t="shared" si="7"/>
        <v>0</v>
      </c>
      <c r="V27" s="99">
        <f t="shared" si="7"/>
        <v>0</v>
      </c>
      <c r="W27" s="99">
        <f t="shared" si="7"/>
        <v>0</v>
      </c>
      <c r="X27" s="99">
        <f t="shared" si="7"/>
        <v>0</v>
      </c>
      <c r="Y27" s="99">
        <f t="shared" si="7"/>
        <v>0</v>
      </c>
      <c r="Z27" s="99">
        <f t="shared" si="7"/>
        <v>0</v>
      </c>
      <c r="AA27" s="99">
        <f>SUM(AA28:AA32)</f>
        <v>200000</v>
      </c>
      <c r="AB27" s="100">
        <f>SUM(AB28:AB32)</f>
        <v>169656</v>
      </c>
      <c r="AC27" s="99">
        <f>SUM(AC28:AC32)</f>
        <v>200000</v>
      </c>
    </row>
    <row r="28" spans="1:30" outlineLevel="1" x14ac:dyDescent="0.3">
      <c r="A28" s="19" t="str">
        <f t="array" ref="A28">5001&amp;" - "&amp;"Lønn uten AGA"</f>
        <v>5001 - Lønn uten AGA</v>
      </c>
      <c r="B28" s="2"/>
      <c r="C28" s="2"/>
      <c r="D28" s="2"/>
      <c r="E28" s="2"/>
      <c r="F28" s="2"/>
      <c r="G28" s="2"/>
      <c r="H28" s="2"/>
      <c r="I28" s="2"/>
      <c r="J28" s="2"/>
      <c r="K28" s="2">
        <v>195</v>
      </c>
      <c r="L28" s="2"/>
      <c r="M28" s="2"/>
      <c r="N28" s="2">
        <v>195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17"/>
      <c r="AC28" s="18"/>
    </row>
    <row r="29" spans="1:30" outlineLevel="1" x14ac:dyDescent="0.3">
      <c r="A29" s="19" t="str">
        <f t="array" ref="A29">5012&amp;" - "&amp;"Dommerhonorar"</f>
        <v>5012 - Dommerhonorar</v>
      </c>
      <c r="B29" s="2">
        <v>3264.83</v>
      </c>
      <c r="C29" s="2">
        <v>4378</v>
      </c>
      <c r="D29" s="2">
        <v>1789.5</v>
      </c>
      <c r="E29" s="2"/>
      <c r="F29" s="2"/>
      <c r="G29" s="2"/>
      <c r="H29" s="2"/>
      <c r="I29" s="2"/>
      <c r="J29" s="2"/>
      <c r="K29" s="2">
        <v>585</v>
      </c>
      <c r="L29" s="2"/>
      <c r="M29" s="2"/>
      <c r="N29" s="2">
        <v>10017.33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>
        <v>40000</v>
      </c>
      <c r="AB29" s="17">
        <v>42331</v>
      </c>
      <c r="AC29" s="18">
        <v>40000</v>
      </c>
    </row>
    <row r="30" spans="1:30" outlineLevel="1" x14ac:dyDescent="0.3">
      <c r="A30" s="19" t="str">
        <f t="array" ref="A30">5015&amp;" - "&amp;"Trenerlønn (ikke innberettet)"</f>
        <v>5015 - Trenerlønn (ikke innberettet)</v>
      </c>
      <c r="B30" s="2"/>
      <c r="C30" s="2"/>
      <c r="D30" s="2"/>
      <c r="E30" s="2"/>
      <c r="F30" s="2">
        <v>64318</v>
      </c>
      <c r="G30" s="2"/>
      <c r="H30" s="2"/>
      <c r="I30" s="2"/>
      <c r="J30" s="2"/>
      <c r="K30" s="2"/>
      <c r="L30" s="2"/>
      <c r="M30" s="2"/>
      <c r="N30" s="2">
        <v>64318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>
        <v>120000</v>
      </c>
      <c r="AB30" s="17">
        <v>84875</v>
      </c>
      <c r="AC30" s="18">
        <v>120000</v>
      </c>
    </row>
    <row r="31" spans="1:30" outlineLevel="1" x14ac:dyDescent="0.3">
      <c r="A31" s="19" t="str">
        <f t="array" ref="A31">5330&amp;" - "&amp;"Godtgjørelse til styret"</f>
        <v>5330 - Godtgjørelse til styret</v>
      </c>
      <c r="B31" s="2"/>
      <c r="C31" s="2"/>
      <c r="D31" s="2">
        <v>27000</v>
      </c>
      <c r="E31" s="2"/>
      <c r="F31" s="2"/>
      <c r="G31" s="2"/>
      <c r="H31" s="2"/>
      <c r="I31" s="2"/>
      <c r="J31" s="2"/>
      <c r="K31" s="2"/>
      <c r="L31" s="2"/>
      <c r="M31" s="2"/>
      <c r="N31" s="2">
        <v>27000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>
        <v>35000</v>
      </c>
      <c r="AB31" s="17">
        <v>42450</v>
      </c>
      <c r="AC31" s="18">
        <v>40000</v>
      </c>
    </row>
    <row r="32" spans="1:30" outlineLevel="1" x14ac:dyDescent="0.3">
      <c r="A32" s="19" t="str">
        <f>5990&amp;" - "&amp;"Andre personalkostnader"</f>
        <v>5990 - Andre personalkostnader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>
        <f>5000</f>
        <v>5000</v>
      </c>
      <c r="AB32" s="17"/>
      <c r="AC32" s="18"/>
    </row>
    <row r="33" spans="1:30" x14ac:dyDescent="0.3">
      <c r="A33" s="16" t="s">
        <v>8</v>
      </c>
      <c r="B33" s="99">
        <f t="shared" ref="B33:AC33" si="8">SUM(B34:B42)</f>
        <v>19385</v>
      </c>
      <c r="C33" s="99">
        <f t="shared" si="8"/>
        <v>3200</v>
      </c>
      <c r="D33" s="99">
        <f t="shared" si="8"/>
        <v>0</v>
      </c>
      <c r="E33" s="99">
        <f t="shared" si="8"/>
        <v>0</v>
      </c>
      <c r="F33" s="99">
        <f t="shared" si="8"/>
        <v>1500</v>
      </c>
      <c r="G33" s="99">
        <f t="shared" si="8"/>
        <v>45871</v>
      </c>
      <c r="H33" s="99">
        <f t="shared" si="8"/>
        <v>0</v>
      </c>
      <c r="I33" s="99">
        <f t="shared" si="8"/>
        <v>3594</v>
      </c>
      <c r="J33" s="99">
        <f t="shared" si="8"/>
        <v>0</v>
      </c>
      <c r="K33" s="99">
        <f t="shared" si="8"/>
        <v>34848.1</v>
      </c>
      <c r="L33" s="99">
        <f t="shared" si="8"/>
        <v>0</v>
      </c>
      <c r="M33" s="99">
        <f t="shared" si="8"/>
        <v>3021</v>
      </c>
      <c r="N33" s="99">
        <f t="shared" si="8"/>
        <v>111419.1</v>
      </c>
      <c r="O33" s="99">
        <f t="shared" si="8"/>
        <v>0</v>
      </c>
      <c r="P33" s="99">
        <f t="shared" si="8"/>
        <v>0</v>
      </c>
      <c r="Q33" s="99">
        <f t="shared" si="8"/>
        <v>0</v>
      </c>
      <c r="R33" s="99">
        <f t="shared" si="8"/>
        <v>0</v>
      </c>
      <c r="S33" s="99">
        <f t="shared" si="8"/>
        <v>0</v>
      </c>
      <c r="T33" s="99">
        <f t="shared" si="8"/>
        <v>0</v>
      </c>
      <c r="U33" s="99">
        <f t="shared" si="8"/>
        <v>0</v>
      </c>
      <c r="V33" s="99">
        <f t="shared" si="8"/>
        <v>0</v>
      </c>
      <c r="W33" s="99">
        <f t="shared" si="8"/>
        <v>0</v>
      </c>
      <c r="X33" s="99">
        <f t="shared" si="8"/>
        <v>0</v>
      </c>
      <c r="Y33" s="99">
        <f t="shared" si="8"/>
        <v>0</v>
      </c>
      <c r="Z33" s="99">
        <f t="shared" si="8"/>
        <v>0</v>
      </c>
      <c r="AA33" s="99">
        <f t="shared" si="8"/>
        <v>126000</v>
      </c>
      <c r="AB33" s="100">
        <f t="shared" si="8"/>
        <v>94320</v>
      </c>
      <c r="AC33" s="99">
        <f t="shared" si="8"/>
        <v>352000</v>
      </c>
    </row>
    <row r="34" spans="1:30" outlineLevel="1" x14ac:dyDescent="0.3">
      <c r="A34" s="19" t="str">
        <f t="array" ref="A34">6300&amp;" - "&amp;"Leie lokaler"</f>
        <v>6300 - Leie lokaler</v>
      </c>
      <c r="B34" s="2"/>
      <c r="C34" s="2"/>
      <c r="D34" s="2"/>
      <c r="E34" s="2"/>
      <c r="F34" s="2"/>
      <c r="G34" s="2">
        <v>8660</v>
      </c>
      <c r="H34" s="2"/>
      <c r="I34" s="2"/>
      <c r="J34" s="2"/>
      <c r="K34" s="2"/>
      <c r="L34" s="2"/>
      <c r="M34" s="2">
        <v>3021</v>
      </c>
      <c r="N34" s="2">
        <v>11681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>
        <v>15000</v>
      </c>
      <c r="AB34" s="17">
        <v>17682</v>
      </c>
      <c r="AC34" s="18">
        <v>11000</v>
      </c>
    </row>
    <row r="35" spans="1:30" outlineLevel="1" x14ac:dyDescent="0.3">
      <c r="A35" s="19" t="str">
        <f t="array" ref="A35">6580&amp;" - "&amp;"Idrettsutstyr"</f>
        <v>6580 - Idrettsutstyr</v>
      </c>
      <c r="B35" s="2">
        <v>8973</v>
      </c>
      <c r="C35" s="2">
        <v>3200</v>
      </c>
      <c r="D35" s="2"/>
      <c r="E35" s="2"/>
      <c r="F35" s="2"/>
      <c r="G35" s="2">
        <v>16912</v>
      </c>
      <c r="H35" s="2"/>
      <c r="I35" s="2">
        <v>2694</v>
      </c>
      <c r="J35" s="2"/>
      <c r="K35" s="2">
        <v>20670.599999999999</v>
      </c>
      <c r="L35" s="2"/>
      <c r="M35" s="2"/>
      <c r="N35" s="2">
        <v>52449.599999999999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>
        <f>5000+10000+15000</f>
        <v>30000</v>
      </c>
      <c r="AB35" s="17">
        <f>2959+21488+12442</f>
        <v>36889</v>
      </c>
      <c r="AC35" s="18">
        <v>250000</v>
      </c>
      <c r="AD35" s="121" t="s">
        <v>106</v>
      </c>
    </row>
    <row r="36" spans="1:30" outlineLevel="1" x14ac:dyDescent="0.3">
      <c r="A36" s="19" t="str">
        <f t="array" ref="A36">6740&amp;" - "&amp;"Treningsavgift"</f>
        <v>6740 - Treningsavgift</v>
      </c>
      <c r="B36" s="2">
        <v>0</v>
      </c>
      <c r="C36" s="2"/>
      <c r="D36" s="2"/>
      <c r="E36" s="2"/>
      <c r="F36" s="2"/>
      <c r="G36" s="2">
        <v>16800</v>
      </c>
      <c r="H36" s="2"/>
      <c r="I36" s="2"/>
      <c r="J36" s="2"/>
      <c r="K36" s="2"/>
      <c r="L36" s="2"/>
      <c r="M36" s="2"/>
      <c r="N36" s="2">
        <v>16800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17"/>
      <c r="AC36" s="18">
        <v>0</v>
      </c>
    </row>
    <row r="37" spans="1:30" outlineLevel="1" x14ac:dyDescent="0.3">
      <c r="A37" s="19" t="str">
        <f>6770&amp;" - "&amp;"Medisinsk behandling, utstyr etc"</f>
        <v>6770 - Medisinsk behandling, utstyr etc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5000</v>
      </c>
      <c r="AB37" s="17"/>
      <c r="AC37" s="18">
        <v>5000</v>
      </c>
    </row>
    <row r="38" spans="1:30" outlineLevel="1" x14ac:dyDescent="0.3">
      <c r="A38" s="19" t="str">
        <f t="array" ref="A38">6800&amp;" - "&amp;"Kontorrekvisita"</f>
        <v>6800 - Kontorrekvisita</v>
      </c>
      <c r="B38" s="2">
        <v>9172</v>
      </c>
      <c r="C38" s="2"/>
      <c r="D38" s="2"/>
      <c r="E38" s="2"/>
      <c r="F38" s="2"/>
      <c r="G38" s="2">
        <v>3499</v>
      </c>
      <c r="H38" s="2"/>
      <c r="I38" s="2"/>
      <c r="J38" s="2"/>
      <c r="K38" s="2">
        <v>2586</v>
      </c>
      <c r="L38" s="2"/>
      <c r="M38" s="2"/>
      <c r="N38" s="2">
        <v>15257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>
        <v>11000</v>
      </c>
      <c r="AB38" s="17">
        <v>10186</v>
      </c>
      <c r="AC38" s="18">
        <v>3000</v>
      </c>
    </row>
    <row r="39" spans="1:30" outlineLevel="1" x14ac:dyDescent="0.3">
      <c r="A39" s="19" t="str">
        <f t="array" ref="A39">6810&amp;" - "&amp;"Data/EDB-kostnad"</f>
        <v>6810 - Data/EDB-kostnad</v>
      </c>
      <c r="B39" s="2"/>
      <c r="C39" s="2"/>
      <c r="D39" s="2"/>
      <c r="E39" s="2"/>
      <c r="F39" s="2"/>
      <c r="G39" s="2"/>
      <c r="H39" s="2"/>
      <c r="I39" s="2"/>
      <c r="J39" s="2"/>
      <c r="K39" s="2">
        <v>1779</v>
      </c>
      <c r="L39" s="2"/>
      <c r="M39" s="2"/>
      <c r="N39" s="2">
        <v>1779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>
        <f>2000+5000</f>
        <v>7000</v>
      </c>
      <c r="AB39" s="17">
        <v>318</v>
      </c>
      <c r="AC39" s="18">
        <v>15000</v>
      </c>
    </row>
    <row r="40" spans="1:30" outlineLevel="1" x14ac:dyDescent="0.3">
      <c r="A40" s="19" t="str">
        <f t="array" ref="A40">6820&amp;" - "&amp;"Trykksaker, kopiering, trykking"</f>
        <v>6820 - Trykksaker, kopiering, trykking</v>
      </c>
      <c r="B40" s="2"/>
      <c r="C40" s="2"/>
      <c r="D40" s="2"/>
      <c r="E40" s="2"/>
      <c r="F40" s="2"/>
      <c r="G40" s="2"/>
      <c r="H40" s="2"/>
      <c r="I40" s="2"/>
      <c r="J40" s="2"/>
      <c r="K40" s="2">
        <v>9812.5</v>
      </c>
      <c r="L40" s="2"/>
      <c r="M40" s="2"/>
      <c r="N40" s="2">
        <v>9812.5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17"/>
      <c r="AC40" s="18">
        <v>10000</v>
      </c>
    </row>
    <row r="41" spans="1:30" outlineLevel="1" x14ac:dyDescent="0.3">
      <c r="A41" s="19" t="str">
        <f t="array" ref="A41">6860&amp;" - "&amp;"Møte, kurs, oppdatering etc"</f>
        <v>6860 - Møte, kurs, oppdatering etc</v>
      </c>
      <c r="B41" s="2"/>
      <c r="C41" s="2"/>
      <c r="D41" s="2"/>
      <c r="E41" s="2"/>
      <c r="F41" s="2">
        <v>1500</v>
      </c>
      <c r="G41" s="2"/>
      <c r="H41" s="2"/>
      <c r="I41" s="2">
        <v>900</v>
      </c>
      <c r="J41" s="2"/>
      <c r="K41" s="2"/>
      <c r="L41" s="2"/>
      <c r="M41" s="2"/>
      <c r="N41" s="2">
        <v>2400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>
        <f>3000+15000+40000</f>
        <v>58000</v>
      </c>
      <c r="AB41" s="17">
        <f>1665+27580</f>
        <v>29245</v>
      </c>
      <c r="AC41" s="18">
        <v>58000</v>
      </c>
    </row>
    <row r="42" spans="1:30" x14ac:dyDescent="0.3">
      <c r="A42" s="19" t="str">
        <f t="array" ref="A42">6940&amp;" - "&amp;"Porto"</f>
        <v>6940 - Porto</v>
      </c>
      <c r="B42" s="2">
        <v>1240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1240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17"/>
      <c r="AC42" s="18">
        <v>0</v>
      </c>
    </row>
    <row r="43" spans="1:30" outlineLevel="1" x14ac:dyDescent="0.3">
      <c r="A43" s="16" t="s">
        <v>21</v>
      </c>
      <c r="B43" s="99">
        <f t="shared" ref="B43:AC43" si="9">SUM(B44:B46)</f>
        <v>2088.5700000000002</v>
      </c>
      <c r="C43" s="99">
        <f t="shared" si="9"/>
        <v>0</v>
      </c>
      <c r="D43" s="99">
        <f t="shared" si="9"/>
        <v>7185</v>
      </c>
      <c r="E43" s="99">
        <f t="shared" si="9"/>
        <v>0</v>
      </c>
      <c r="F43" s="99">
        <f t="shared" si="9"/>
        <v>0</v>
      </c>
      <c r="G43" s="99">
        <f t="shared" si="9"/>
        <v>0</v>
      </c>
      <c r="H43" s="99">
        <f t="shared" si="9"/>
        <v>751.6</v>
      </c>
      <c r="I43" s="99">
        <f t="shared" si="9"/>
        <v>375.9</v>
      </c>
      <c r="J43" s="99">
        <f t="shared" si="9"/>
        <v>0</v>
      </c>
      <c r="K43" s="99">
        <f t="shared" si="9"/>
        <v>743.4</v>
      </c>
      <c r="L43" s="99">
        <f t="shared" si="9"/>
        <v>0</v>
      </c>
      <c r="M43" s="99">
        <f t="shared" si="9"/>
        <v>0</v>
      </c>
      <c r="N43" s="99">
        <f t="shared" si="9"/>
        <v>11144.470000000001</v>
      </c>
      <c r="O43" s="99">
        <f t="shared" si="9"/>
        <v>0</v>
      </c>
      <c r="P43" s="99">
        <f t="shared" si="9"/>
        <v>0</v>
      </c>
      <c r="Q43" s="99">
        <f t="shared" si="9"/>
        <v>0</v>
      </c>
      <c r="R43" s="99">
        <f t="shared" si="9"/>
        <v>0</v>
      </c>
      <c r="S43" s="99">
        <f t="shared" si="9"/>
        <v>0</v>
      </c>
      <c r="T43" s="99">
        <f t="shared" si="9"/>
        <v>0</v>
      </c>
      <c r="U43" s="99">
        <f t="shared" si="9"/>
        <v>0</v>
      </c>
      <c r="V43" s="99">
        <f t="shared" si="9"/>
        <v>0</v>
      </c>
      <c r="W43" s="99">
        <f t="shared" si="9"/>
        <v>0</v>
      </c>
      <c r="X43" s="99">
        <f t="shared" si="9"/>
        <v>0</v>
      </c>
      <c r="Y43" s="99">
        <f t="shared" si="9"/>
        <v>0</v>
      </c>
      <c r="Z43" s="99">
        <f t="shared" si="9"/>
        <v>0</v>
      </c>
      <c r="AA43" s="99">
        <f t="shared" si="9"/>
        <v>0</v>
      </c>
      <c r="AB43" s="100">
        <f t="shared" si="9"/>
        <v>0</v>
      </c>
      <c r="AC43" s="99">
        <f t="shared" si="9"/>
        <v>28000</v>
      </c>
    </row>
    <row r="44" spans="1:30" outlineLevel="1" x14ac:dyDescent="0.3">
      <c r="A44" s="19" t="str">
        <f t="array" ref="A44">7100&amp;" - "&amp;"Bilgodtgjørelse"</f>
        <v>7100 - Bilgodtgjørelse</v>
      </c>
      <c r="B44" s="2"/>
      <c r="C44" s="2"/>
      <c r="D44" s="2"/>
      <c r="E44" s="2"/>
      <c r="F44" s="2"/>
      <c r="G44" s="2"/>
      <c r="H44" s="2"/>
      <c r="I44" s="2"/>
      <c r="J44" s="2"/>
      <c r="K44" s="2">
        <v>84.35</v>
      </c>
      <c r="L44" s="2"/>
      <c r="M44" s="2"/>
      <c r="N44" s="2">
        <v>84.35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17"/>
      <c r="AC44" s="18">
        <v>8000</v>
      </c>
    </row>
    <row r="45" spans="1:30" outlineLevel="1" x14ac:dyDescent="0.3">
      <c r="A45" s="19" t="str">
        <f t="array" ref="A45">7145&amp;" - "&amp;"Andre reisekostnader"</f>
        <v>7145 - Andre reisekostnader</v>
      </c>
      <c r="B45" s="2"/>
      <c r="C45" s="2"/>
      <c r="D45" s="2">
        <v>5750</v>
      </c>
      <c r="E45" s="2"/>
      <c r="F45" s="2"/>
      <c r="G45" s="2"/>
      <c r="H45" s="2"/>
      <c r="I45" s="2"/>
      <c r="J45" s="2"/>
      <c r="K45" s="2">
        <v>554.04999999999995</v>
      </c>
      <c r="L45" s="2"/>
      <c r="M45" s="2"/>
      <c r="N45" s="2">
        <v>6304.05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17"/>
      <c r="AC45" s="18"/>
    </row>
    <row r="46" spans="1:30" x14ac:dyDescent="0.3">
      <c r="A46" s="19" t="str">
        <f t="array" ref="A46">7162&amp;" - "&amp;"Bevertning/mat"</f>
        <v>7162 - Bevertning/mat</v>
      </c>
      <c r="B46" s="2">
        <v>2088.5700000000002</v>
      </c>
      <c r="C46" s="2"/>
      <c r="D46" s="2">
        <v>1435</v>
      </c>
      <c r="E46" s="2"/>
      <c r="F46" s="2"/>
      <c r="G46" s="2"/>
      <c r="H46" s="2">
        <v>751.6</v>
      </c>
      <c r="I46" s="2">
        <v>375.9</v>
      </c>
      <c r="J46" s="2"/>
      <c r="K46" s="2">
        <v>105</v>
      </c>
      <c r="L46" s="2"/>
      <c r="M46" s="2"/>
      <c r="N46" s="2">
        <v>4756.07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17"/>
      <c r="AC46" s="18">
        <v>20000</v>
      </c>
    </row>
    <row r="47" spans="1:30" x14ac:dyDescent="0.3">
      <c r="A47" s="16" t="s">
        <v>16</v>
      </c>
      <c r="B47" s="99">
        <f t="shared" ref="B47:Z47" si="10">SUM(0)</f>
        <v>0</v>
      </c>
      <c r="C47" s="99">
        <f t="shared" si="10"/>
        <v>0</v>
      </c>
      <c r="D47" s="99">
        <f t="shared" si="10"/>
        <v>0</v>
      </c>
      <c r="E47" s="99">
        <f t="shared" si="10"/>
        <v>0</v>
      </c>
      <c r="F47" s="99">
        <f t="shared" si="10"/>
        <v>0</v>
      </c>
      <c r="G47" s="99">
        <f t="shared" si="10"/>
        <v>0</v>
      </c>
      <c r="H47" s="99">
        <f t="shared" si="10"/>
        <v>0</v>
      </c>
      <c r="I47" s="99">
        <f t="shared" si="10"/>
        <v>0</v>
      </c>
      <c r="J47" s="99">
        <f t="shared" si="10"/>
        <v>0</v>
      </c>
      <c r="K47" s="99">
        <f t="shared" si="10"/>
        <v>0</v>
      </c>
      <c r="L47" s="99">
        <f t="shared" si="10"/>
        <v>0</v>
      </c>
      <c r="M47" s="99">
        <f t="shared" si="10"/>
        <v>0</v>
      </c>
      <c r="N47" s="99">
        <f t="shared" si="10"/>
        <v>0</v>
      </c>
      <c r="O47" s="99">
        <f t="shared" si="10"/>
        <v>0</v>
      </c>
      <c r="P47" s="99">
        <f t="shared" si="10"/>
        <v>0</v>
      </c>
      <c r="Q47" s="99">
        <f t="shared" si="10"/>
        <v>0</v>
      </c>
      <c r="R47" s="99">
        <f t="shared" si="10"/>
        <v>0</v>
      </c>
      <c r="S47" s="99">
        <f t="shared" si="10"/>
        <v>0</v>
      </c>
      <c r="T47" s="99">
        <f t="shared" si="10"/>
        <v>0</v>
      </c>
      <c r="U47" s="99">
        <f t="shared" si="10"/>
        <v>0</v>
      </c>
      <c r="V47" s="99">
        <f t="shared" si="10"/>
        <v>0</v>
      </c>
      <c r="W47" s="99">
        <f t="shared" si="10"/>
        <v>0</v>
      </c>
      <c r="X47" s="99">
        <f t="shared" si="10"/>
        <v>0</v>
      </c>
      <c r="Y47" s="99">
        <f t="shared" si="10"/>
        <v>0</v>
      </c>
      <c r="Z47" s="99">
        <f t="shared" si="10"/>
        <v>0</v>
      </c>
      <c r="AA47" s="99">
        <f>AA48</f>
        <v>2000</v>
      </c>
      <c r="AB47" s="100"/>
      <c r="AC47" s="99">
        <v>2000</v>
      </c>
    </row>
    <row r="48" spans="1:30" outlineLevel="1" x14ac:dyDescent="0.3">
      <c r="A48" s="19" t="str">
        <f t="array" ref="A48">7320&amp;" - "&amp;"Reklame og annonser"</f>
        <v>7320 - Reklame og annonser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>
        <v>2000</v>
      </c>
      <c r="AB48" s="103"/>
      <c r="AC48" s="102">
        <v>2000</v>
      </c>
    </row>
    <row r="49" spans="1:29" outlineLevel="1" x14ac:dyDescent="0.3">
      <c r="A49" s="16" t="s">
        <v>17</v>
      </c>
      <c r="B49" s="99">
        <f t="shared" ref="B49:C49" si="11">SUM(B50:B51)</f>
        <v>1500</v>
      </c>
      <c r="C49" s="99">
        <f t="shared" si="11"/>
        <v>2500</v>
      </c>
      <c r="D49" s="99">
        <f t="shared" ref="D49:AC49" si="12">SUM(D50:D52)</f>
        <v>2600</v>
      </c>
      <c r="E49" s="99">
        <f t="shared" si="12"/>
        <v>0</v>
      </c>
      <c r="F49" s="99">
        <f t="shared" si="12"/>
        <v>8590</v>
      </c>
      <c r="G49" s="99">
        <f t="shared" si="12"/>
        <v>515</v>
      </c>
      <c r="H49" s="99">
        <f t="shared" si="12"/>
        <v>1030</v>
      </c>
      <c r="I49" s="99">
        <f t="shared" si="12"/>
        <v>0</v>
      </c>
      <c r="J49" s="99">
        <f t="shared" si="12"/>
        <v>0</v>
      </c>
      <c r="K49" s="99">
        <f t="shared" si="12"/>
        <v>2900</v>
      </c>
      <c r="L49" s="99">
        <f t="shared" si="12"/>
        <v>0</v>
      </c>
      <c r="M49" s="99">
        <f t="shared" si="12"/>
        <v>0</v>
      </c>
      <c r="N49" s="99">
        <f t="shared" si="12"/>
        <v>21695</v>
      </c>
      <c r="O49" s="99">
        <f t="shared" si="12"/>
        <v>0</v>
      </c>
      <c r="P49" s="99">
        <f t="shared" si="12"/>
        <v>0</v>
      </c>
      <c r="Q49" s="99">
        <f t="shared" si="12"/>
        <v>2060</v>
      </c>
      <c r="R49" s="99">
        <f t="shared" si="12"/>
        <v>0</v>
      </c>
      <c r="S49" s="99">
        <f t="shared" si="12"/>
        <v>0</v>
      </c>
      <c r="T49" s="99">
        <f t="shared" si="12"/>
        <v>0</v>
      </c>
      <c r="U49" s="99">
        <f t="shared" si="12"/>
        <v>0</v>
      </c>
      <c r="V49" s="99">
        <f t="shared" si="12"/>
        <v>0</v>
      </c>
      <c r="W49" s="99">
        <f t="shared" si="12"/>
        <v>0</v>
      </c>
      <c r="X49" s="99">
        <f t="shared" si="12"/>
        <v>0</v>
      </c>
      <c r="Y49" s="99">
        <f t="shared" si="12"/>
        <v>0</v>
      </c>
      <c r="Z49" s="99">
        <f t="shared" si="12"/>
        <v>0</v>
      </c>
      <c r="AA49" s="99">
        <f t="shared" si="12"/>
        <v>138000</v>
      </c>
      <c r="AB49" s="100">
        <f t="shared" si="12"/>
        <v>102827</v>
      </c>
      <c r="AC49" s="99">
        <f t="shared" si="12"/>
        <v>138000</v>
      </c>
    </row>
    <row r="50" spans="1:29" x14ac:dyDescent="0.3">
      <c r="A50" s="19" t="str">
        <f t="array" ref="A50">7410&amp;" - "&amp;"Påmelding serier, turneringer etc"</f>
        <v>7410 - Påmelding serier, turneringer etc</v>
      </c>
      <c r="B50" s="2">
        <v>1500</v>
      </c>
      <c r="C50" s="2">
        <v>2500</v>
      </c>
      <c r="D50" s="2">
        <v>2600</v>
      </c>
      <c r="E50" s="2"/>
      <c r="F50" s="2">
        <v>8590</v>
      </c>
      <c r="G50" s="2">
        <v>515</v>
      </c>
      <c r="H50" s="2">
        <v>1030</v>
      </c>
      <c r="I50" s="2"/>
      <c r="J50" s="2"/>
      <c r="K50" s="2">
        <v>2900</v>
      </c>
      <c r="L50" s="2"/>
      <c r="M50" s="2"/>
      <c r="N50" s="2">
        <v>19635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>
        <f>60000+20000+50000</f>
        <v>130000</v>
      </c>
      <c r="AB50" s="17">
        <f>63500+39327</f>
        <v>102827</v>
      </c>
      <c r="AC50" s="18">
        <v>130000</v>
      </c>
    </row>
    <row r="51" spans="1:29" x14ac:dyDescent="0.3">
      <c r="A51" s="42" t="s">
        <v>99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>
        <f>2000+3000</f>
        <v>5000</v>
      </c>
      <c r="AB51" s="17"/>
      <c r="AC51" s="18">
        <v>5000</v>
      </c>
    </row>
    <row r="52" spans="1:29" outlineLevel="1" x14ac:dyDescent="0.3">
      <c r="A52" s="42" t="s">
        <v>100</v>
      </c>
      <c r="B52" s="99">
        <f t="shared" ref="B52:C52" si="13">SUM(0)</f>
        <v>0</v>
      </c>
      <c r="C52" s="99">
        <f t="shared" si="13"/>
        <v>0</v>
      </c>
      <c r="D52" s="19" t="str">
        <f t="array" ref="D52">7440&amp;" - "&amp;"Overgangsgebyrer"</f>
        <v>7440 - Overgangsgebyrer</v>
      </c>
      <c r="E52" s="2"/>
      <c r="F52" s="2"/>
      <c r="G52" s="2"/>
      <c r="H52" s="2"/>
      <c r="I52" s="2"/>
      <c r="J52" s="2"/>
      <c r="K52" s="2"/>
      <c r="L52" s="2"/>
      <c r="M52" s="2"/>
      <c r="N52" s="2">
        <v>2060</v>
      </c>
      <c r="O52" s="2"/>
      <c r="P52" s="2"/>
      <c r="Q52" s="2">
        <v>2060</v>
      </c>
      <c r="R52" s="2"/>
      <c r="S52" s="2"/>
      <c r="T52" s="2"/>
      <c r="U52" s="2"/>
      <c r="V52" s="2"/>
      <c r="W52" s="2"/>
      <c r="X52" s="2"/>
      <c r="Y52" s="2"/>
      <c r="Z52" s="2"/>
      <c r="AA52" s="2">
        <v>3000</v>
      </c>
      <c r="AB52" s="2"/>
      <c r="AC52" s="2">
        <v>3000</v>
      </c>
    </row>
    <row r="53" spans="1:29" outlineLevel="1" x14ac:dyDescent="0.3">
      <c r="A53" s="16" t="s">
        <v>9</v>
      </c>
      <c r="B53" s="2"/>
      <c r="C53" s="2"/>
      <c r="D53" s="99">
        <f t="shared" ref="D53:AC53" si="14">SUM(D54:D58)</f>
        <v>1025.0999999999999</v>
      </c>
      <c r="E53" s="99">
        <f t="shared" si="14"/>
        <v>43.9</v>
      </c>
      <c r="F53" s="99">
        <f t="shared" si="14"/>
        <v>3.5</v>
      </c>
      <c r="G53" s="99">
        <f t="shared" si="14"/>
        <v>0</v>
      </c>
      <c r="H53" s="99">
        <f t="shared" si="14"/>
        <v>0</v>
      </c>
      <c r="I53" s="99">
        <f t="shared" si="14"/>
        <v>0</v>
      </c>
      <c r="J53" s="99">
        <f t="shared" si="14"/>
        <v>12195.2</v>
      </c>
      <c r="K53" s="99">
        <f t="shared" si="14"/>
        <v>0</v>
      </c>
      <c r="L53" s="99">
        <f t="shared" si="14"/>
        <v>0</v>
      </c>
      <c r="M53" s="99">
        <f t="shared" si="14"/>
        <v>12727.94</v>
      </c>
      <c r="N53" s="99">
        <f t="shared" si="14"/>
        <v>26126.090000000004</v>
      </c>
      <c r="O53" s="99">
        <f t="shared" si="14"/>
        <v>0</v>
      </c>
      <c r="P53" s="99">
        <f t="shared" si="14"/>
        <v>0</v>
      </c>
      <c r="Q53" s="99">
        <f t="shared" si="14"/>
        <v>0</v>
      </c>
      <c r="R53" s="99">
        <f t="shared" si="14"/>
        <v>0</v>
      </c>
      <c r="S53" s="99">
        <f t="shared" si="14"/>
        <v>0</v>
      </c>
      <c r="T53" s="99">
        <f t="shared" si="14"/>
        <v>0</v>
      </c>
      <c r="U53" s="99">
        <f t="shared" si="14"/>
        <v>0</v>
      </c>
      <c r="V53" s="99">
        <f t="shared" si="14"/>
        <v>0</v>
      </c>
      <c r="W53" s="99">
        <f t="shared" si="14"/>
        <v>0</v>
      </c>
      <c r="X53" s="99">
        <f t="shared" si="14"/>
        <v>0</v>
      </c>
      <c r="Y53" s="99">
        <f t="shared" si="14"/>
        <v>0</v>
      </c>
      <c r="Z53" s="99">
        <f t="shared" si="14"/>
        <v>0</v>
      </c>
      <c r="AA53" s="99">
        <f t="shared" si="14"/>
        <v>68000</v>
      </c>
      <c r="AB53" s="100">
        <f t="shared" si="14"/>
        <v>63227</v>
      </c>
      <c r="AC53" s="99">
        <f t="shared" si="14"/>
        <v>28000</v>
      </c>
    </row>
    <row r="54" spans="1:29" outlineLevel="1" x14ac:dyDescent="0.3">
      <c r="A54" s="19" t="str">
        <f t="array" ref="A54">7600&amp;" - "&amp;"Lisensavgift og royalties"</f>
        <v>7600 - Lisensavgift og royalties</v>
      </c>
      <c r="B54" s="2"/>
      <c r="C54" s="2"/>
      <c r="D54" s="2"/>
      <c r="E54" s="2"/>
      <c r="F54" s="2"/>
      <c r="G54" s="2"/>
      <c r="H54" s="2"/>
      <c r="I54" s="2"/>
      <c r="J54" s="2">
        <v>12190</v>
      </c>
      <c r="K54" s="2"/>
      <c r="L54" s="2"/>
      <c r="M54" s="2"/>
      <c r="N54" s="2">
        <v>12190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17"/>
      <c r="AC54" s="18">
        <v>15000</v>
      </c>
    </row>
    <row r="55" spans="1:29" outlineLevel="1" x14ac:dyDescent="0.3">
      <c r="A55" s="19" t="str">
        <f t="array" ref="A55">7770&amp;" - "&amp;"Bank og kortgebyrer"</f>
        <v>7770 - Bank og kortgebyrer</v>
      </c>
      <c r="B55" s="2"/>
      <c r="C55" s="2"/>
      <c r="D55" s="2">
        <v>98</v>
      </c>
      <c r="E55" s="2">
        <v>43.9</v>
      </c>
      <c r="F55" s="2"/>
      <c r="G55" s="2"/>
      <c r="H55" s="2"/>
      <c r="I55" s="2"/>
      <c r="J55" s="2">
        <v>5.2</v>
      </c>
      <c r="K55" s="2"/>
      <c r="L55" s="2"/>
      <c r="M55" s="2"/>
      <c r="N55" s="2">
        <v>147.1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17"/>
      <c r="AC55" s="18">
        <v>0</v>
      </c>
    </row>
    <row r="56" spans="1:29" outlineLevel="1" x14ac:dyDescent="0.3">
      <c r="A56" s="19" t="str">
        <f t="array" ref="A56">7780&amp;" - "&amp;"Bøter, sanksjoner"</f>
        <v>7780 - Bøter, sanksjoner</v>
      </c>
      <c r="B56" s="2">
        <v>94.36</v>
      </c>
      <c r="C56" s="2">
        <v>36.090000000000003</v>
      </c>
      <c r="D56" s="2">
        <v>750</v>
      </c>
      <c r="E56" s="2"/>
      <c r="F56" s="2"/>
      <c r="G56" s="2"/>
      <c r="H56" s="2"/>
      <c r="I56" s="2"/>
      <c r="J56" s="2"/>
      <c r="K56" s="2"/>
      <c r="L56" s="2"/>
      <c r="M56" s="2"/>
      <c r="N56" s="2">
        <v>750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>
        <v>10000</v>
      </c>
      <c r="AB56" s="17">
        <v>24500</v>
      </c>
      <c r="AC56" s="18">
        <v>3000</v>
      </c>
    </row>
    <row r="57" spans="1:29" x14ac:dyDescent="0.3">
      <c r="A57" s="19" t="str">
        <f t="array" ref="A57">7790&amp;" - "&amp;"Diverse kostnader"</f>
        <v>7790 - Diverse kostnader</v>
      </c>
      <c r="B57" s="2"/>
      <c r="C57" s="2"/>
      <c r="D57" s="2">
        <v>177.1</v>
      </c>
      <c r="E57" s="2"/>
      <c r="F57" s="2">
        <v>3.5</v>
      </c>
      <c r="G57" s="2"/>
      <c r="H57" s="2"/>
      <c r="I57" s="2"/>
      <c r="J57" s="2"/>
      <c r="K57" s="2"/>
      <c r="L57" s="2"/>
      <c r="M57" s="2">
        <v>1950</v>
      </c>
      <c r="N57" s="2">
        <v>2261.0500000000002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>
        <f>3000+20000+9000+26000</f>
        <v>58000</v>
      </c>
      <c r="AB57" s="17">
        <f>1139+7474+18500+4136+6760</f>
        <v>38009</v>
      </c>
      <c r="AC57" s="18">
        <v>10000</v>
      </c>
    </row>
    <row r="58" spans="1:29" x14ac:dyDescent="0.3">
      <c r="A58" s="19" t="str">
        <f t="array" ref="A58">7830&amp;" - "&amp;"Tap på fordringer"</f>
        <v>7830 - Tap på fordringer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>
        <v>10777.94</v>
      </c>
      <c r="N58" s="2">
        <v>10777.94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17">
        <f>80+638</f>
        <v>718</v>
      </c>
      <c r="AC58" s="18"/>
    </row>
    <row r="59" spans="1:29" x14ac:dyDescent="0.3">
      <c r="A59" s="25" t="s">
        <v>3</v>
      </c>
      <c r="B59" s="3"/>
      <c r="C59" s="3"/>
      <c r="D59" s="104" t="e">
        <f>D53+#REF!+D49+D47+#REF!+D43+D33+D27+D25</f>
        <v>#REF!</v>
      </c>
      <c r="E59" s="104" t="e">
        <f>E53+#REF!+E49+E47+#REF!+E43+E33+E27+E25</f>
        <v>#REF!</v>
      </c>
      <c r="F59" s="104" t="e">
        <f>F53+#REF!+F49+F47+#REF!+F43+F33+F27+F25</f>
        <v>#REF!</v>
      </c>
      <c r="G59" s="104" t="e">
        <f>G53+#REF!+G49+G47+#REF!+G43+G33+G27+G25</f>
        <v>#REF!</v>
      </c>
      <c r="H59" s="104" t="e">
        <f>H53+#REF!+H49+H47+#REF!+H43+H33+H27+H25</f>
        <v>#REF!</v>
      </c>
      <c r="I59" s="104" t="e">
        <f>I53+#REF!+I49+I47+#REF!+I43+I33+I27+I25</f>
        <v>#REF!</v>
      </c>
      <c r="J59" s="104" t="e">
        <f>J53+#REF!+J49+J47+#REF!+J43+J33+J27+J25</f>
        <v>#REF!</v>
      </c>
      <c r="K59" s="104" t="e">
        <f>K53+#REF!+K49+K47+#REF!+K43+K33+K27+K25</f>
        <v>#REF!</v>
      </c>
      <c r="L59" s="104" t="e">
        <f>L53+#REF!+L49+L47+#REF!+L43+L33+L27+L25</f>
        <v>#REF!</v>
      </c>
      <c r="M59" s="104" t="e">
        <f>M53+#REF!+M49+M47+#REF!+M43+M33+M27+M25</f>
        <v>#REF!</v>
      </c>
      <c r="N59" s="104">
        <f>N53+N49+N47+N43+N33+N27+N25</f>
        <v>282133.76000000001</v>
      </c>
      <c r="O59" s="104">
        <f t="shared" ref="O59:AC59" si="15">O53+O49+O47+O43+O33+O27+O25</f>
        <v>0</v>
      </c>
      <c r="P59" s="104">
        <f t="shared" si="15"/>
        <v>0</v>
      </c>
      <c r="Q59" s="104">
        <f t="shared" si="15"/>
        <v>2060</v>
      </c>
      <c r="R59" s="104">
        <f t="shared" si="15"/>
        <v>0</v>
      </c>
      <c r="S59" s="104">
        <f t="shared" si="15"/>
        <v>0</v>
      </c>
      <c r="T59" s="104">
        <f t="shared" si="15"/>
        <v>0</v>
      </c>
      <c r="U59" s="104">
        <f t="shared" si="15"/>
        <v>0</v>
      </c>
      <c r="V59" s="104">
        <f t="shared" si="15"/>
        <v>0</v>
      </c>
      <c r="W59" s="104">
        <f t="shared" si="15"/>
        <v>0</v>
      </c>
      <c r="X59" s="104">
        <f t="shared" si="15"/>
        <v>0</v>
      </c>
      <c r="Y59" s="104">
        <f t="shared" si="15"/>
        <v>0</v>
      </c>
      <c r="Z59" s="104">
        <f t="shared" si="15"/>
        <v>0</v>
      </c>
      <c r="AA59" s="104">
        <f t="shared" si="15"/>
        <v>584000</v>
      </c>
      <c r="AB59" s="104">
        <f t="shared" si="15"/>
        <v>460982</v>
      </c>
      <c r="AC59" s="104">
        <f t="shared" si="15"/>
        <v>798000</v>
      </c>
    </row>
    <row r="60" spans="1:29" x14ac:dyDescent="0.3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23"/>
      <c r="AC60" s="22"/>
    </row>
    <row r="61" spans="1:29" x14ac:dyDescent="0.3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23"/>
      <c r="AC61" s="22"/>
    </row>
    <row r="62" spans="1:29" x14ac:dyDescent="0.3">
      <c r="A62" s="4"/>
      <c r="B62" s="99">
        <f t="shared" ref="B62:AC63" si="16">SUM(0)</f>
        <v>0</v>
      </c>
      <c r="C62" s="99">
        <f t="shared" si="16"/>
        <v>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23"/>
      <c r="AC62" s="22"/>
    </row>
    <row r="63" spans="1:29" ht="16.2" thickBot="1" x14ac:dyDescent="0.35">
      <c r="A63" s="16" t="s">
        <v>20</v>
      </c>
      <c r="B63" s="105" t="e">
        <f>B62+#REF!+B21</f>
        <v>#REF!</v>
      </c>
      <c r="C63" s="105" t="e">
        <f>C62+#REF!+C21</f>
        <v>#REF!</v>
      </c>
      <c r="D63" s="99">
        <f t="shared" si="16"/>
        <v>0</v>
      </c>
      <c r="E63" s="99">
        <f t="shared" si="16"/>
        <v>0</v>
      </c>
      <c r="F63" s="99">
        <f t="shared" si="16"/>
        <v>0</v>
      </c>
      <c r="G63" s="99">
        <f t="shared" si="16"/>
        <v>0</v>
      </c>
      <c r="H63" s="99">
        <f t="shared" si="16"/>
        <v>0</v>
      </c>
      <c r="I63" s="99">
        <f t="shared" si="16"/>
        <v>0</v>
      </c>
      <c r="J63" s="99">
        <f t="shared" si="16"/>
        <v>0</v>
      </c>
      <c r="K63" s="99">
        <f t="shared" si="16"/>
        <v>0</v>
      </c>
      <c r="L63" s="99">
        <f t="shared" si="16"/>
        <v>0</v>
      </c>
      <c r="M63" s="99">
        <f t="shared" si="16"/>
        <v>0</v>
      </c>
      <c r="N63" s="99">
        <f t="shared" si="16"/>
        <v>0</v>
      </c>
      <c r="O63" s="99">
        <f t="shared" si="16"/>
        <v>0</v>
      </c>
      <c r="P63" s="99">
        <f t="shared" si="16"/>
        <v>0</v>
      </c>
      <c r="Q63" s="99">
        <f t="shared" si="16"/>
        <v>0</v>
      </c>
      <c r="R63" s="99">
        <f t="shared" si="16"/>
        <v>0</v>
      </c>
      <c r="S63" s="99">
        <f t="shared" si="16"/>
        <v>0</v>
      </c>
      <c r="T63" s="99">
        <f t="shared" si="16"/>
        <v>0</v>
      </c>
      <c r="U63" s="99">
        <f t="shared" si="16"/>
        <v>0</v>
      </c>
      <c r="V63" s="99">
        <f t="shared" si="16"/>
        <v>0</v>
      </c>
      <c r="W63" s="99">
        <f t="shared" si="16"/>
        <v>0</v>
      </c>
      <c r="X63" s="99">
        <f t="shared" si="16"/>
        <v>0</v>
      </c>
      <c r="Y63" s="99">
        <f t="shared" si="16"/>
        <v>0</v>
      </c>
      <c r="Z63" s="99">
        <f t="shared" si="16"/>
        <v>0</v>
      </c>
      <c r="AA63" s="99">
        <f t="shared" si="16"/>
        <v>0</v>
      </c>
      <c r="AB63" s="100"/>
      <c r="AC63" s="99">
        <f t="shared" si="16"/>
        <v>0</v>
      </c>
    </row>
    <row r="64" spans="1:29" ht="16.8" thickTop="1" thickBot="1" x14ac:dyDescent="0.35">
      <c r="A64" s="31" t="s">
        <v>121</v>
      </c>
      <c r="D64" s="105" t="e">
        <f t="shared" ref="D64:AB64" si="17">D63+D59+D21</f>
        <v>#REF!</v>
      </c>
      <c r="E64" s="105" t="e">
        <f t="shared" si="17"/>
        <v>#REF!</v>
      </c>
      <c r="F64" s="105" t="e">
        <f t="shared" si="17"/>
        <v>#REF!</v>
      </c>
      <c r="G64" s="105" t="e">
        <f t="shared" si="17"/>
        <v>#REF!</v>
      </c>
      <c r="H64" s="105" t="e">
        <f t="shared" si="17"/>
        <v>#REF!</v>
      </c>
      <c r="I64" s="105" t="e">
        <f t="shared" si="17"/>
        <v>#REF!</v>
      </c>
      <c r="J64" s="105" t="e">
        <f t="shared" si="17"/>
        <v>#REF!</v>
      </c>
      <c r="K64" s="105" t="e">
        <f t="shared" si="17"/>
        <v>#REF!</v>
      </c>
      <c r="L64" s="105" t="e">
        <f t="shared" si="17"/>
        <v>#REF!</v>
      </c>
      <c r="M64" s="105" t="e">
        <f t="shared" si="17"/>
        <v>#REF!</v>
      </c>
      <c r="N64" s="105">
        <f t="shared" si="17"/>
        <v>-148375.70000000007</v>
      </c>
      <c r="O64" s="105">
        <f t="shared" si="17"/>
        <v>0</v>
      </c>
      <c r="P64" s="105">
        <f t="shared" si="17"/>
        <v>0</v>
      </c>
      <c r="Q64" s="105">
        <f t="shared" si="17"/>
        <v>2060</v>
      </c>
      <c r="R64" s="105">
        <f t="shared" si="17"/>
        <v>0</v>
      </c>
      <c r="S64" s="105">
        <f t="shared" si="17"/>
        <v>0</v>
      </c>
      <c r="T64" s="105">
        <f t="shared" si="17"/>
        <v>0</v>
      </c>
      <c r="U64" s="105">
        <f t="shared" si="17"/>
        <v>0</v>
      </c>
      <c r="V64" s="105">
        <f t="shared" si="17"/>
        <v>0</v>
      </c>
      <c r="W64" s="105">
        <f t="shared" si="17"/>
        <v>0</v>
      </c>
      <c r="X64" s="105">
        <f t="shared" si="17"/>
        <v>0</v>
      </c>
      <c r="Y64" s="105">
        <f t="shared" si="17"/>
        <v>0</v>
      </c>
      <c r="Z64" s="105">
        <f t="shared" si="17"/>
        <v>0</v>
      </c>
      <c r="AA64" s="105">
        <f t="shared" si="17"/>
        <v>50000</v>
      </c>
      <c r="AB64" s="105">
        <f t="shared" si="17"/>
        <v>-23478</v>
      </c>
      <c r="AC64" s="105">
        <f>AC21+AC59</f>
        <v>238500</v>
      </c>
    </row>
    <row r="65" spans="1:14" ht="15" thickTop="1" x14ac:dyDescent="0.3"/>
    <row r="66" spans="1:14" x14ac:dyDescent="0.3">
      <c r="A66" s="36"/>
    </row>
    <row r="67" spans="1:14" x14ac:dyDescent="0.3">
      <c r="A67" s="36"/>
    </row>
    <row r="68" spans="1:14" x14ac:dyDescent="0.3">
      <c r="A68" s="106" t="s">
        <v>103</v>
      </c>
    </row>
    <row r="69" spans="1:14" x14ac:dyDescent="0.3">
      <c r="A69" s="107" t="s">
        <v>104</v>
      </c>
      <c r="N69" s="23">
        <v>25000</v>
      </c>
    </row>
    <row r="70" spans="1:14" x14ac:dyDescent="0.3">
      <c r="A70" s="107" t="s">
        <v>127</v>
      </c>
      <c r="N70" s="23">
        <v>12000</v>
      </c>
    </row>
    <row r="71" spans="1:14" x14ac:dyDescent="0.3">
      <c r="A71" s="107" t="s">
        <v>128</v>
      </c>
      <c r="N71" s="108">
        <v>3000</v>
      </c>
    </row>
    <row r="72" spans="1:14" x14ac:dyDescent="0.3">
      <c r="A72" s="107"/>
      <c r="N72" s="109">
        <f>SUM(N69:N71)</f>
        <v>40000</v>
      </c>
    </row>
    <row r="73" spans="1:14" x14ac:dyDescent="0.3">
      <c r="A73" s="107"/>
    </row>
    <row r="74" spans="1:14" x14ac:dyDescent="0.3">
      <c r="A74" s="107"/>
    </row>
    <row r="75" spans="1:14" x14ac:dyDescent="0.3">
      <c r="A75" s="106" t="s">
        <v>105</v>
      </c>
    </row>
    <row r="76" spans="1:14" x14ac:dyDescent="0.3">
      <c r="A76" s="107" t="s">
        <v>125</v>
      </c>
      <c r="N76" s="23">
        <v>200000</v>
      </c>
    </row>
    <row r="77" spans="1:14" x14ac:dyDescent="0.3">
      <c r="A77" s="107" t="s">
        <v>126</v>
      </c>
      <c r="N77" s="108">
        <v>50000</v>
      </c>
    </row>
    <row r="78" spans="1:14" x14ac:dyDescent="0.3">
      <c r="A78" s="107"/>
      <c r="N78" s="109">
        <f>SUM(N76:N77)</f>
        <v>250000</v>
      </c>
    </row>
  </sheetData>
  <sheetProtection algorithmName="SHA-512" hashValue="CHVuITDbzizDjq/yDgnBgtGaKn4Cn7yqNUClB6AbsV0xGxiNYGqxxx2R2ZyAjy12JzK1bQ5DCmQg7KsxOlC//Q==" saltValue="6bEOBM9OSKW0YUcRP/Cjvw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G67"/>
  <sheetViews>
    <sheetView zoomScaleNormal="100" workbookViewId="0">
      <selection activeCell="B2" sqref="B2"/>
    </sheetView>
  </sheetViews>
  <sheetFormatPr baseColWidth="10" defaultColWidth="9.109375" defaultRowHeight="14.4" outlineLevelRow="1" outlineLevelCol="1" x14ac:dyDescent="0.3"/>
  <cols>
    <col min="2" max="2" width="36.109375" customWidth="1"/>
    <col min="3" max="14" width="10.109375" hidden="1" customWidth="1" outlineLevel="1"/>
    <col min="15" max="15" width="11.33203125" customWidth="1" collapsed="1"/>
    <col min="16" max="27" width="11" hidden="1" customWidth="1" outlineLevel="1"/>
    <col min="28" max="28" width="11.33203125" style="49" customWidth="1" collapsed="1"/>
    <col min="29" max="29" width="11.33203125" style="49" customWidth="1"/>
    <col min="30" max="30" width="11.33203125" customWidth="1"/>
  </cols>
  <sheetData>
    <row r="1" spans="2:30" ht="25.8" x14ac:dyDescent="0.5">
      <c r="B1" s="24" t="s">
        <v>115</v>
      </c>
    </row>
    <row r="6" spans="2:30" ht="15.6" x14ac:dyDescent="0.3">
      <c r="B6" s="2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14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 t="s">
        <v>13</v>
      </c>
      <c r="AC6" s="9" t="s">
        <v>14</v>
      </c>
      <c r="AD6" s="9" t="s">
        <v>13</v>
      </c>
    </row>
    <row r="7" spans="2:30" ht="15.6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20" t="s">
        <v>4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34" t="s">
        <v>11</v>
      </c>
      <c r="AC7" s="34" t="s">
        <v>1</v>
      </c>
      <c r="AD7" s="20" t="s">
        <v>11</v>
      </c>
    </row>
    <row r="8" spans="2:30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v>2020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0">
        <v>2020</v>
      </c>
      <c r="AC8" s="50">
        <v>2019</v>
      </c>
      <c r="AD8" s="4">
        <v>2021</v>
      </c>
    </row>
    <row r="9" spans="2:30" ht="21" x14ac:dyDescent="0.4">
      <c r="B9" s="21" t="s">
        <v>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2:30" x14ac:dyDescent="0.3">
      <c r="B10" s="16" t="s">
        <v>12</v>
      </c>
      <c r="C10" s="1">
        <f t="shared" ref="C10:AC10" si="0">SUM(C11:C12)</f>
        <v>-1000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0</v>
      </c>
      <c r="I10" s="1">
        <f t="shared" si="0"/>
        <v>0</v>
      </c>
      <c r="J10" s="1">
        <f t="shared" si="0"/>
        <v>0</v>
      </c>
      <c r="K10" s="1">
        <f t="shared" si="0"/>
        <v>0</v>
      </c>
      <c r="L10" s="1">
        <f t="shared" si="0"/>
        <v>-529.80999999999995</v>
      </c>
      <c r="M10" s="1">
        <f t="shared" si="0"/>
        <v>-224.82</v>
      </c>
      <c r="N10" s="1">
        <f t="shared" si="0"/>
        <v>0</v>
      </c>
      <c r="O10" s="1">
        <f t="shared" si="0"/>
        <v>-1754.63</v>
      </c>
      <c r="P10" s="1">
        <f t="shared" si="0"/>
        <v>0</v>
      </c>
      <c r="Q10" s="1">
        <f t="shared" si="0"/>
        <v>0</v>
      </c>
      <c r="R10" s="1">
        <f t="shared" si="0"/>
        <v>0</v>
      </c>
      <c r="S10" s="1">
        <f t="shared" si="0"/>
        <v>0</v>
      </c>
      <c r="T10" s="1">
        <f t="shared" si="0"/>
        <v>0</v>
      </c>
      <c r="U10" s="1">
        <f t="shared" si="0"/>
        <v>0</v>
      </c>
      <c r="V10" s="1">
        <f t="shared" si="0"/>
        <v>0</v>
      </c>
      <c r="W10" s="1">
        <f t="shared" si="0"/>
        <v>0</v>
      </c>
      <c r="X10" s="1">
        <f t="shared" si="0"/>
        <v>0</v>
      </c>
      <c r="Y10" s="1">
        <f t="shared" si="0"/>
        <v>0</v>
      </c>
      <c r="Z10" s="1">
        <f t="shared" si="0"/>
        <v>0</v>
      </c>
      <c r="AA10" s="1">
        <f t="shared" si="0"/>
        <v>0</v>
      </c>
      <c r="AB10" s="45">
        <f t="shared" si="0"/>
        <v>-20000</v>
      </c>
      <c r="AC10" s="45">
        <f t="shared" si="0"/>
        <v>-23355</v>
      </c>
      <c r="AD10" s="1">
        <f t="shared" ref="AD10" si="1">SUM(AD11:AD12)</f>
        <v>-60000</v>
      </c>
    </row>
    <row r="11" spans="2:30" outlineLevel="1" x14ac:dyDescent="0.3">
      <c r="B11" s="19" t="str">
        <f t="array" ref="B11">3110&amp;" - "&amp;"Salgsinntekter, avgiftsfri"</f>
        <v>3110 - Salgsinntekter, avgiftsfri</v>
      </c>
      <c r="C11" s="2"/>
      <c r="D11" s="2"/>
      <c r="E11" s="2"/>
      <c r="F11" s="2"/>
      <c r="G11" s="2"/>
      <c r="H11" s="2"/>
      <c r="I11" s="2"/>
      <c r="J11" s="2"/>
      <c r="K11" s="2"/>
      <c r="L11" s="2">
        <v>-529.80999999999995</v>
      </c>
      <c r="M11" s="2">
        <v>-224.82</v>
      </c>
      <c r="N11" s="2"/>
      <c r="O11" s="2">
        <v>-754.63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54">
        <f t="shared" ref="AB11" si="2">SUM(P11)</f>
        <v>0</v>
      </c>
      <c r="AC11" s="47">
        <v>-555</v>
      </c>
      <c r="AD11" s="18">
        <v>-10000</v>
      </c>
    </row>
    <row r="12" spans="2:30" outlineLevel="1" x14ac:dyDescent="0.3">
      <c r="B12" s="19" t="str">
        <f t="array" ref="B12">3120&amp;" - "&amp;"Sponsorinntekter, avgiftsfri"</f>
        <v>3120 - Sponsorinntekter, avgiftsfri</v>
      </c>
      <c r="C12" s="2">
        <v>-1000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>
        <v>-1000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54">
        <v>-20000</v>
      </c>
      <c r="AC12" s="47">
        <v>-22800</v>
      </c>
      <c r="AD12" s="18">
        <v>-50000</v>
      </c>
    </row>
    <row r="13" spans="2:30" x14ac:dyDescent="0.3">
      <c r="B13" s="16" t="s">
        <v>5</v>
      </c>
      <c r="C13" s="1">
        <f t="shared" ref="C13:AC13" si="3">SUM(C14:C15)</f>
        <v>0</v>
      </c>
      <c r="D13" s="1">
        <f t="shared" si="3"/>
        <v>0</v>
      </c>
      <c r="E13" s="1">
        <f t="shared" si="3"/>
        <v>0</v>
      </c>
      <c r="F13" s="1">
        <f t="shared" si="3"/>
        <v>0</v>
      </c>
      <c r="G13" s="1">
        <f t="shared" si="3"/>
        <v>-55451.88</v>
      </c>
      <c r="H13" s="1">
        <f t="shared" si="3"/>
        <v>0</v>
      </c>
      <c r="I13" s="1">
        <f t="shared" si="3"/>
        <v>-12110</v>
      </c>
      <c r="J13" s="1">
        <f t="shared" si="3"/>
        <v>-48000</v>
      </c>
      <c r="K13" s="1">
        <f t="shared" si="3"/>
        <v>0</v>
      </c>
      <c r="L13" s="1">
        <f t="shared" si="3"/>
        <v>-4000</v>
      </c>
      <c r="M13" s="1">
        <f t="shared" si="3"/>
        <v>-10163</v>
      </c>
      <c r="N13" s="1">
        <f t="shared" si="3"/>
        <v>-97463</v>
      </c>
      <c r="O13" s="1">
        <f t="shared" si="3"/>
        <v>-227187.88</v>
      </c>
      <c r="P13" s="1">
        <f t="shared" si="3"/>
        <v>0</v>
      </c>
      <c r="Q13" s="1">
        <f t="shared" si="3"/>
        <v>0</v>
      </c>
      <c r="R13" s="1">
        <f t="shared" si="3"/>
        <v>0</v>
      </c>
      <c r="S13" s="1">
        <f t="shared" si="3"/>
        <v>0</v>
      </c>
      <c r="T13" s="1">
        <f t="shared" si="3"/>
        <v>0</v>
      </c>
      <c r="U13" s="1">
        <f t="shared" si="3"/>
        <v>0</v>
      </c>
      <c r="V13" s="1">
        <f t="shared" si="3"/>
        <v>0</v>
      </c>
      <c r="W13" s="1">
        <f t="shared" si="3"/>
        <v>0</v>
      </c>
      <c r="X13" s="1">
        <f t="shared" si="3"/>
        <v>0</v>
      </c>
      <c r="Y13" s="1">
        <f t="shared" si="3"/>
        <v>0</v>
      </c>
      <c r="Z13" s="1">
        <f t="shared" si="3"/>
        <v>0</v>
      </c>
      <c r="AA13" s="1">
        <f t="shared" si="3"/>
        <v>0</v>
      </c>
      <c r="AB13" s="45">
        <f t="shared" si="3"/>
        <v>-89000</v>
      </c>
      <c r="AC13" s="45">
        <f t="shared" si="3"/>
        <v>-90242</v>
      </c>
      <c r="AD13" s="1">
        <f t="shared" ref="AD13" si="4">SUM(AD14:AD15)</f>
        <v>-80000</v>
      </c>
    </row>
    <row r="14" spans="2:30" outlineLevel="1" x14ac:dyDescent="0.3">
      <c r="B14" s="19" t="str">
        <f t="array" ref="B14">3400&amp;" - "&amp;"Tilskudd"</f>
        <v>3400 - Tilskudd</v>
      </c>
      <c r="C14" s="2"/>
      <c r="D14" s="2"/>
      <c r="E14" s="2"/>
      <c r="F14" s="2"/>
      <c r="G14" s="2"/>
      <c r="H14" s="2"/>
      <c r="I14" s="2"/>
      <c r="J14" s="2">
        <v>-45000</v>
      </c>
      <c r="K14" s="2"/>
      <c r="L14" s="2">
        <v>-4000</v>
      </c>
      <c r="M14" s="2">
        <v>-10163</v>
      </c>
      <c r="N14" s="2">
        <v>-97463</v>
      </c>
      <c r="O14" s="2">
        <v>-156626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54">
        <v>-19000</v>
      </c>
      <c r="AC14" s="47">
        <v>-19270</v>
      </c>
      <c r="AD14" s="18">
        <v>-20000</v>
      </c>
    </row>
    <row r="15" spans="2:30" outlineLevel="1" x14ac:dyDescent="0.3">
      <c r="B15" s="19" t="str">
        <f t="array" ref="B15">3440&amp;" - "&amp;"Andre tilskudd"</f>
        <v>3440 - Andre tilskudd</v>
      </c>
      <c r="C15" s="2"/>
      <c r="D15" s="2"/>
      <c r="E15" s="2"/>
      <c r="F15" s="2"/>
      <c r="G15" s="2">
        <v>-55451.88</v>
      </c>
      <c r="H15" s="2"/>
      <c r="I15" s="2">
        <v>-12110</v>
      </c>
      <c r="J15" s="2">
        <v>-3000</v>
      </c>
      <c r="K15" s="2"/>
      <c r="L15" s="2"/>
      <c r="M15" s="2"/>
      <c r="N15" s="2"/>
      <c r="O15" s="2">
        <v>-70561.88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54">
        <f>-52000-18000</f>
        <v>-70000</v>
      </c>
      <c r="AC15" s="47">
        <f>-52503-18469</f>
        <v>-70972</v>
      </c>
      <c r="AD15" s="18">
        <v>-60000</v>
      </c>
    </row>
    <row r="16" spans="2:30" x14ac:dyDescent="0.3">
      <c r="B16" s="16" t="s">
        <v>6</v>
      </c>
      <c r="C16" s="1">
        <f t="shared" ref="C16:AD16" si="5">SUM(0)</f>
        <v>0</v>
      </c>
      <c r="D16" s="1">
        <f t="shared" si="5"/>
        <v>0</v>
      </c>
      <c r="E16" s="1">
        <f t="shared" si="5"/>
        <v>0</v>
      </c>
      <c r="F16" s="1">
        <f t="shared" si="5"/>
        <v>0</v>
      </c>
      <c r="G16" s="1">
        <f t="shared" si="5"/>
        <v>0</v>
      </c>
      <c r="H16" s="1">
        <f t="shared" si="5"/>
        <v>0</v>
      </c>
      <c r="I16" s="1">
        <f t="shared" si="5"/>
        <v>0</v>
      </c>
      <c r="J16" s="1">
        <f t="shared" si="5"/>
        <v>0</v>
      </c>
      <c r="K16" s="1">
        <f t="shared" si="5"/>
        <v>0</v>
      </c>
      <c r="L16" s="1">
        <f t="shared" si="5"/>
        <v>0</v>
      </c>
      <c r="M16" s="1">
        <f t="shared" si="5"/>
        <v>0</v>
      </c>
      <c r="N16" s="1">
        <f t="shared" si="5"/>
        <v>0</v>
      </c>
      <c r="O16" s="1">
        <f t="shared" si="5"/>
        <v>0</v>
      </c>
      <c r="P16" s="1">
        <f t="shared" si="5"/>
        <v>0</v>
      </c>
      <c r="Q16" s="1">
        <f t="shared" si="5"/>
        <v>0</v>
      </c>
      <c r="R16" s="1">
        <f t="shared" si="5"/>
        <v>0</v>
      </c>
      <c r="S16" s="1">
        <f t="shared" si="5"/>
        <v>0</v>
      </c>
      <c r="T16" s="1">
        <f t="shared" si="5"/>
        <v>0</v>
      </c>
      <c r="U16" s="1">
        <f t="shared" si="5"/>
        <v>0</v>
      </c>
      <c r="V16" s="1">
        <f t="shared" si="5"/>
        <v>0</v>
      </c>
      <c r="W16" s="1">
        <f t="shared" si="5"/>
        <v>0</v>
      </c>
      <c r="X16" s="1">
        <f t="shared" si="5"/>
        <v>0</v>
      </c>
      <c r="Y16" s="1">
        <f t="shared" si="5"/>
        <v>0</v>
      </c>
      <c r="Z16" s="1">
        <f t="shared" si="5"/>
        <v>0</v>
      </c>
      <c r="AA16" s="1">
        <f t="shared" si="5"/>
        <v>0</v>
      </c>
      <c r="AB16" s="45">
        <f t="shared" si="5"/>
        <v>0</v>
      </c>
      <c r="AC16" s="45">
        <f t="shared" si="5"/>
        <v>0</v>
      </c>
      <c r="AD16" s="1">
        <f t="shared" si="5"/>
        <v>0</v>
      </c>
    </row>
    <row r="17" spans="2:30" x14ac:dyDescent="0.3">
      <c r="B17" s="16" t="s">
        <v>10</v>
      </c>
      <c r="C17" s="1">
        <f t="shared" ref="C17:AC17" si="6">SUM(C18:C22)</f>
        <v>0</v>
      </c>
      <c r="D17" s="1">
        <f t="shared" si="6"/>
        <v>-13075</v>
      </c>
      <c r="E17" s="1">
        <f t="shared" si="6"/>
        <v>-36586</v>
      </c>
      <c r="F17" s="1">
        <f t="shared" si="6"/>
        <v>-2409.5</v>
      </c>
      <c r="G17" s="1">
        <f t="shared" si="6"/>
        <v>-31956.15</v>
      </c>
      <c r="H17" s="1">
        <f t="shared" si="6"/>
        <v>-3731.19</v>
      </c>
      <c r="I17" s="1">
        <f t="shared" si="6"/>
        <v>0</v>
      </c>
      <c r="J17" s="1">
        <f t="shared" si="6"/>
        <v>-5284.95</v>
      </c>
      <c r="K17" s="1">
        <f t="shared" si="6"/>
        <v>-35616.81</v>
      </c>
      <c r="L17" s="1">
        <f t="shared" si="6"/>
        <v>3868.8199999999997</v>
      </c>
      <c r="M17" s="1">
        <f t="shared" si="6"/>
        <v>-14179.8</v>
      </c>
      <c r="N17" s="1">
        <f t="shared" si="6"/>
        <v>-72687.02</v>
      </c>
      <c r="O17" s="1">
        <f t="shared" si="6"/>
        <v>-211657.60000000001</v>
      </c>
      <c r="P17" s="1">
        <f t="shared" si="6"/>
        <v>0</v>
      </c>
      <c r="Q17" s="1">
        <f t="shared" si="6"/>
        <v>0</v>
      </c>
      <c r="R17" s="1">
        <f t="shared" si="6"/>
        <v>0</v>
      </c>
      <c r="S17" s="1">
        <f t="shared" si="6"/>
        <v>0</v>
      </c>
      <c r="T17" s="1">
        <f t="shared" si="6"/>
        <v>0</v>
      </c>
      <c r="U17" s="1">
        <f t="shared" si="6"/>
        <v>0</v>
      </c>
      <c r="V17" s="1">
        <f t="shared" si="6"/>
        <v>0</v>
      </c>
      <c r="W17" s="1">
        <f t="shared" si="6"/>
        <v>0</v>
      </c>
      <c r="X17" s="1">
        <f t="shared" si="6"/>
        <v>0</v>
      </c>
      <c r="Y17" s="1">
        <f t="shared" si="6"/>
        <v>0</v>
      </c>
      <c r="Z17" s="1">
        <f t="shared" si="6"/>
        <v>0</v>
      </c>
      <c r="AA17" s="1">
        <f t="shared" si="6"/>
        <v>0</v>
      </c>
      <c r="AB17" s="45">
        <f t="shared" si="6"/>
        <v>-365000</v>
      </c>
      <c r="AC17" s="45">
        <f t="shared" si="6"/>
        <v>-380131</v>
      </c>
      <c r="AD17" s="1">
        <f t="shared" ref="AD17" si="7">SUM(AD18:AD22)</f>
        <v>-355000</v>
      </c>
    </row>
    <row r="18" spans="2:30" outlineLevel="1" x14ac:dyDescent="0.3">
      <c r="B18" s="19" t="str">
        <f t="array" ref="B18">3930&amp;" - "&amp;"Treningsavgifter"</f>
        <v>3930 - Treningsavgifter</v>
      </c>
      <c r="C18" s="2"/>
      <c r="D18" s="2">
        <v>-13075</v>
      </c>
      <c r="E18" s="2">
        <v>-36586</v>
      </c>
      <c r="F18" s="2">
        <v>-1300</v>
      </c>
      <c r="G18" s="2">
        <v>-1900</v>
      </c>
      <c r="H18" s="2"/>
      <c r="I18" s="2"/>
      <c r="J18" s="2">
        <v>-1552.16</v>
      </c>
      <c r="K18" s="2"/>
      <c r="L18" s="2">
        <v>8126.2</v>
      </c>
      <c r="M18" s="2">
        <v>-10139.799999999999</v>
      </c>
      <c r="N18" s="2">
        <v>-3769</v>
      </c>
      <c r="O18" s="2">
        <v>-60195.76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54">
        <v>-230000</v>
      </c>
      <c r="AC18" s="47">
        <v>-227700</v>
      </c>
      <c r="AD18" s="18">
        <v>-210000</v>
      </c>
    </row>
    <row r="19" spans="2:30" outlineLevel="1" x14ac:dyDescent="0.3">
      <c r="B19" s="19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54"/>
      <c r="AC19" s="47">
        <v>-1089</v>
      </c>
      <c r="AD19" s="18"/>
    </row>
    <row r="20" spans="2:30" outlineLevel="1" x14ac:dyDescent="0.3">
      <c r="B20" s="19" t="str">
        <f t="array" ref="B20">3960&amp;" - "&amp;"Lotterier, bingo etc"</f>
        <v>3960 - Lotterier, bingo etc</v>
      </c>
      <c r="C20" s="2"/>
      <c r="D20" s="2"/>
      <c r="E20" s="2"/>
      <c r="F20" s="2"/>
      <c r="G20" s="2">
        <v>-30056.15</v>
      </c>
      <c r="H20" s="2">
        <v>-3141.8</v>
      </c>
      <c r="I20" s="2"/>
      <c r="J20" s="2">
        <v>-3732.79</v>
      </c>
      <c r="K20" s="2">
        <v>-35616.81</v>
      </c>
      <c r="L20" s="2">
        <v>-4257.38</v>
      </c>
      <c r="M20" s="2"/>
      <c r="N20" s="2">
        <v>-30712</v>
      </c>
      <c r="O20" s="2">
        <v>-107516.93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54">
        <f>-90000-15000</f>
        <v>-105000</v>
      </c>
      <c r="AC20" s="47">
        <f>-89332-5415</f>
        <v>-94747</v>
      </c>
      <c r="AD20" s="18">
        <v>-105000</v>
      </c>
    </row>
    <row r="21" spans="2:30" outlineLevel="1" x14ac:dyDescent="0.3">
      <c r="B21" s="19" t="str">
        <f t="array" ref="B21">3970&amp;" - "&amp;"Momskompensasjon"</f>
        <v>3970 - Momskompensasjon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>
        <v>-27922.89</v>
      </c>
      <c r="O21" s="2">
        <v>-27922.89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54">
        <v>-30000</v>
      </c>
      <c r="AC21" s="47">
        <v>-33135</v>
      </c>
      <c r="AD21" s="18">
        <v>-40000</v>
      </c>
    </row>
    <row r="22" spans="2:30" outlineLevel="1" x14ac:dyDescent="0.3">
      <c r="B22" s="19" t="str">
        <f t="array" ref="B22">3990&amp;" - "&amp;"Andre inntekter"</f>
        <v>3990 - Andre inntekter</v>
      </c>
      <c r="C22" s="2"/>
      <c r="D22" s="2"/>
      <c r="E22" s="2"/>
      <c r="F22" s="2">
        <v>-1109.5</v>
      </c>
      <c r="G22" s="2"/>
      <c r="H22" s="2">
        <v>-589.39</v>
      </c>
      <c r="I22" s="2"/>
      <c r="J22" s="2"/>
      <c r="K22" s="2"/>
      <c r="L22" s="2"/>
      <c r="M22" s="2">
        <v>-4040</v>
      </c>
      <c r="N22" s="2">
        <v>-10283.129999999999</v>
      </c>
      <c r="O22" s="2">
        <v>-16022.02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54">
        <f t="shared" ref="AB22" si="8">SUM(P22)</f>
        <v>0</v>
      </c>
      <c r="AC22" s="47">
        <f>-430-1605-21425</f>
        <v>-23460</v>
      </c>
      <c r="AD22" s="18"/>
    </row>
    <row r="23" spans="2:30" x14ac:dyDescent="0.3">
      <c r="B23" s="28" t="s">
        <v>7</v>
      </c>
      <c r="C23" s="7">
        <f t="shared" ref="C23:AC23" si="9">C17+C16+C13+C10</f>
        <v>-1000</v>
      </c>
      <c r="D23" s="7">
        <f t="shared" si="9"/>
        <v>-13075</v>
      </c>
      <c r="E23" s="7">
        <f t="shared" si="9"/>
        <v>-36586</v>
      </c>
      <c r="F23" s="7">
        <f t="shared" si="9"/>
        <v>-2409.5</v>
      </c>
      <c r="G23" s="7">
        <f t="shared" si="9"/>
        <v>-87408.03</v>
      </c>
      <c r="H23" s="7">
        <f t="shared" si="9"/>
        <v>-3731.19</v>
      </c>
      <c r="I23" s="7">
        <f t="shared" si="9"/>
        <v>-12110</v>
      </c>
      <c r="J23" s="7">
        <f t="shared" si="9"/>
        <v>-53284.95</v>
      </c>
      <c r="K23" s="7">
        <f t="shared" si="9"/>
        <v>-35616.81</v>
      </c>
      <c r="L23" s="7">
        <f t="shared" si="9"/>
        <v>-660.99000000000024</v>
      </c>
      <c r="M23" s="7">
        <f t="shared" si="9"/>
        <v>-24567.62</v>
      </c>
      <c r="N23" s="7">
        <f t="shared" si="9"/>
        <v>-170150.02000000002</v>
      </c>
      <c r="O23" s="7">
        <f t="shared" si="9"/>
        <v>-440600.11</v>
      </c>
      <c r="P23" s="7">
        <f t="shared" si="9"/>
        <v>0</v>
      </c>
      <c r="Q23" s="7">
        <f t="shared" si="9"/>
        <v>0</v>
      </c>
      <c r="R23" s="7">
        <f t="shared" si="9"/>
        <v>0</v>
      </c>
      <c r="S23" s="7">
        <f t="shared" si="9"/>
        <v>0</v>
      </c>
      <c r="T23" s="7">
        <f t="shared" si="9"/>
        <v>0</v>
      </c>
      <c r="U23" s="7">
        <f t="shared" si="9"/>
        <v>0</v>
      </c>
      <c r="V23" s="7">
        <f t="shared" si="9"/>
        <v>0</v>
      </c>
      <c r="W23" s="7">
        <f t="shared" si="9"/>
        <v>0</v>
      </c>
      <c r="X23" s="7">
        <f t="shared" si="9"/>
        <v>0</v>
      </c>
      <c r="Y23" s="7">
        <f t="shared" si="9"/>
        <v>0</v>
      </c>
      <c r="Z23" s="7">
        <f t="shared" si="9"/>
        <v>0</v>
      </c>
      <c r="AA23" s="7">
        <f t="shared" si="9"/>
        <v>0</v>
      </c>
      <c r="AB23" s="51">
        <f t="shared" si="9"/>
        <v>-474000</v>
      </c>
      <c r="AC23" s="51">
        <f t="shared" si="9"/>
        <v>-493728</v>
      </c>
      <c r="AD23" s="7">
        <f t="shared" ref="AD23" si="10">AD17+AD16+AD13+AD10</f>
        <v>-495000</v>
      </c>
    </row>
    <row r="24" spans="2:30" x14ac:dyDescent="0.3"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55"/>
      <c r="AC24" s="52"/>
      <c r="AD24" s="22"/>
    </row>
    <row r="25" spans="2:30" x14ac:dyDescent="0.3"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55"/>
      <c r="AC25" s="52"/>
      <c r="AD25" s="22"/>
    </row>
    <row r="26" spans="2:30" ht="21" x14ac:dyDescent="0.4">
      <c r="B26" s="21" t="s">
        <v>19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0" x14ac:dyDescent="0.3">
      <c r="B27" s="16" t="s">
        <v>18</v>
      </c>
      <c r="C27" s="1">
        <f t="shared" ref="C27:AA27" si="11">SUM(0)</f>
        <v>0</v>
      </c>
      <c r="D27" s="1">
        <f t="shared" si="11"/>
        <v>0</v>
      </c>
      <c r="E27" s="1">
        <f t="shared" si="11"/>
        <v>0</v>
      </c>
      <c r="F27" s="1">
        <f t="shared" si="11"/>
        <v>0</v>
      </c>
      <c r="G27" s="1">
        <f t="shared" si="11"/>
        <v>0</v>
      </c>
      <c r="H27" s="1">
        <f t="shared" si="11"/>
        <v>0</v>
      </c>
      <c r="I27" s="1">
        <f t="shared" si="11"/>
        <v>0</v>
      </c>
      <c r="J27" s="1">
        <f t="shared" si="11"/>
        <v>0</v>
      </c>
      <c r="K27" s="1">
        <f t="shared" si="11"/>
        <v>0</v>
      </c>
      <c r="L27" s="1">
        <f t="shared" si="11"/>
        <v>0</v>
      </c>
      <c r="M27" s="1">
        <f t="shared" si="11"/>
        <v>0</v>
      </c>
      <c r="N27" s="1">
        <f t="shared" si="11"/>
        <v>0</v>
      </c>
      <c r="O27" s="1">
        <f>O28</f>
        <v>0</v>
      </c>
      <c r="P27" s="1">
        <f t="shared" si="11"/>
        <v>0</v>
      </c>
      <c r="Q27" s="1">
        <f t="shared" si="11"/>
        <v>0</v>
      </c>
      <c r="R27" s="1">
        <f t="shared" si="11"/>
        <v>0</v>
      </c>
      <c r="S27" s="1">
        <f t="shared" si="11"/>
        <v>0</v>
      </c>
      <c r="T27" s="1">
        <f t="shared" si="11"/>
        <v>0</v>
      </c>
      <c r="U27" s="1">
        <f t="shared" si="11"/>
        <v>0</v>
      </c>
      <c r="V27" s="1">
        <f t="shared" si="11"/>
        <v>0</v>
      </c>
      <c r="W27" s="1">
        <f t="shared" si="11"/>
        <v>0</v>
      </c>
      <c r="X27" s="1">
        <f t="shared" si="11"/>
        <v>0</v>
      </c>
      <c r="Y27" s="1">
        <f t="shared" si="11"/>
        <v>0</v>
      </c>
      <c r="Z27" s="1">
        <f t="shared" si="11"/>
        <v>0</v>
      </c>
      <c r="AA27" s="1">
        <f t="shared" si="11"/>
        <v>0</v>
      </c>
      <c r="AB27" s="45">
        <f t="shared" ref="AB27" si="12">AB28</f>
        <v>0</v>
      </c>
      <c r="AC27" s="45">
        <f>AC28</f>
        <v>1569</v>
      </c>
      <c r="AD27" s="1">
        <f>AD28</f>
        <v>10000</v>
      </c>
    </row>
    <row r="28" spans="2:30" x14ac:dyDescent="0.3">
      <c r="B28" s="19" t="s">
        <v>40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6"/>
      <c r="AC28" s="46">
        <v>1569</v>
      </c>
      <c r="AD28" s="41">
        <v>10000</v>
      </c>
    </row>
    <row r="29" spans="2:30" x14ac:dyDescent="0.3">
      <c r="B29" s="16" t="s">
        <v>2</v>
      </c>
      <c r="C29" s="1">
        <f t="shared" ref="C29:AC29" si="13">SUM(C30:C33)</f>
        <v>10870</v>
      </c>
      <c r="D29" s="1">
        <f t="shared" si="13"/>
        <v>0</v>
      </c>
      <c r="E29" s="1">
        <f t="shared" si="13"/>
        <v>20490</v>
      </c>
      <c r="F29" s="1">
        <f t="shared" si="13"/>
        <v>2700</v>
      </c>
      <c r="G29" s="1">
        <f t="shared" si="13"/>
        <v>0</v>
      </c>
      <c r="H29" s="1">
        <f t="shared" si="13"/>
        <v>0</v>
      </c>
      <c r="I29" s="1">
        <f t="shared" si="13"/>
        <v>5000</v>
      </c>
      <c r="J29" s="1">
        <f t="shared" si="13"/>
        <v>550</v>
      </c>
      <c r="K29" s="1">
        <f t="shared" si="13"/>
        <v>0</v>
      </c>
      <c r="L29" s="1">
        <f t="shared" si="13"/>
        <v>11975</v>
      </c>
      <c r="M29" s="1">
        <f t="shared" si="13"/>
        <v>4500</v>
      </c>
      <c r="N29" s="1">
        <f t="shared" si="13"/>
        <v>60888</v>
      </c>
      <c r="O29" s="1">
        <f t="shared" si="13"/>
        <v>117273</v>
      </c>
      <c r="P29" s="1">
        <f t="shared" si="13"/>
        <v>0</v>
      </c>
      <c r="Q29" s="1">
        <f t="shared" si="13"/>
        <v>0</v>
      </c>
      <c r="R29" s="1">
        <f t="shared" si="13"/>
        <v>0</v>
      </c>
      <c r="S29" s="1">
        <f t="shared" si="13"/>
        <v>0</v>
      </c>
      <c r="T29" s="1">
        <f t="shared" si="13"/>
        <v>0</v>
      </c>
      <c r="U29" s="1">
        <f t="shared" si="13"/>
        <v>0</v>
      </c>
      <c r="V29" s="1">
        <f t="shared" si="13"/>
        <v>0</v>
      </c>
      <c r="W29" s="1">
        <f t="shared" si="13"/>
        <v>0</v>
      </c>
      <c r="X29" s="1">
        <f t="shared" si="13"/>
        <v>0</v>
      </c>
      <c r="Y29" s="1">
        <f t="shared" si="13"/>
        <v>0</v>
      </c>
      <c r="Z29" s="1">
        <f t="shared" si="13"/>
        <v>0</v>
      </c>
      <c r="AA29" s="1">
        <f t="shared" si="13"/>
        <v>0</v>
      </c>
      <c r="AB29" s="45">
        <f t="shared" si="13"/>
        <v>140000</v>
      </c>
      <c r="AC29" s="45">
        <f t="shared" si="13"/>
        <v>117234</v>
      </c>
      <c r="AD29" s="1">
        <f t="shared" ref="AD29" si="14">SUM(AD30:AD33)</f>
        <v>158000</v>
      </c>
    </row>
    <row r="30" spans="2:30" outlineLevel="1" x14ac:dyDescent="0.3">
      <c r="B30" s="19" t="str">
        <f t="array" ref="B30">5001&amp;" - "&amp;"Lønn uten AGA"</f>
        <v>5001 - Lønn uten AGA</v>
      </c>
      <c r="C30" s="2">
        <v>10000</v>
      </c>
      <c r="D30" s="2"/>
      <c r="E30" s="2"/>
      <c r="F30" s="2"/>
      <c r="G30" s="2"/>
      <c r="H30" s="2"/>
      <c r="I30" s="2">
        <v>5000</v>
      </c>
      <c r="J30" s="2"/>
      <c r="K30" s="2"/>
      <c r="L30" s="2"/>
      <c r="M30" s="2"/>
      <c r="N30" s="2"/>
      <c r="O30" s="2">
        <v>15000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54"/>
      <c r="AC30" s="47"/>
      <c r="AD30" s="18"/>
    </row>
    <row r="31" spans="2:30" outlineLevel="1" x14ac:dyDescent="0.3">
      <c r="B31" s="19" t="str">
        <f t="array" ref="B31">5012&amp;" - "&amp;"Dommerhonorar"</f>
        <v>5012 - Dommerhonorar</v>
      </c>
      <c r="C31" s="2">
        <v>870</v>
      </c>
      <c r="D31" s="2"/>
      <c r="E31" s="2"/>
      <c r="F31" s="2"/>
      <c r="G31" s="2"/>
      <c r="H31" s="2"/>
      <c r="I31" s="2"/>
      <c r="J31" s="2">
        <v>550</v>
      </c>
      <c r="K31" s="2"/>
      <c r="L31" s="2">
        <v>11975</v>
      </c>
      <c r="M31" s="2">
        <v>4500</v>
      </c>
      <c r="N31" s="2">
        <v>688</v>
      </c>
      <c r="O31" s="2">
        <v>18883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54">
        <v>40000</v>
      </c>
      <c r="AC31" s="47">
        <v>29386</v>
      </c>
      <c r="AD31" s="18">
        <v>50000</v>
      </c>
    </row>
    <row r="32" spans="2:30" outlineLevel="1" x14ac:dyDescent="0.3">
      <c r="B32" s="19" t="str">
        <f t="array" ref="B32">5014&amp;" - "&amp;"Honorar uten AGA (inkl.feriepenger)"</f>
        <v>5014 - Honorar uten AGA (inkl.feriepenger)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60200</v>
      </c>
      <c r="O32" s="2">
        <v>60200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54">
        <v>75000</v>
      </c>
      <c r="AC32" s="47">
        <v>65248</v>
      </c>
      <c r="AD32" s="18">
        <v>85000</v>
      </c>
    </row>
    <row r="33" spans="2:33" outlineLevel="1" x14ac:dyDescent="0.3">
      <c r="B33" s="19" t="str">
        <f t="array" ref="B33">5330&amp;" - "&amp;"Godtgjørelse til styret"</f>
        <v>5330 - Godtgjørelse til styret</v>
      </c>
      <c r="C33" s="2"/>
      <c r="D33" s="2"/>
      <c r="E33" s="2">
        <v>20490</v>
      </c>
      <c r="F33" s="2">
        <v>2700</v>
      </c>
      <c r="G33" s="2"/>
      <c r="H33" s="2"/>
      <c r="I33" s="2"/>
      <c r="J33" s="2"/>
      <c r="K33" s="2"/>
      <c r="L33" s="2"/>
      <c r="M33" s="2"/>
      <c r="N33" s="2"/>
      <c r="O33" s="2">
        <v>23190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54">
        <v>25000</v>
      </c>
      <c r="AC33" s="47">
        <v>22600</v>
      </c>
      <c r="AD33" s="18">
        <v>23000</v>
      </c>
    </row>
    <row r="34" spans="2:33" x14ac:dyDescent="0.3">
      <c r="B34" s="16" t="s">
        <v>8</v>
      </c>
      <c r="C34" s="1">
        <f t="shared" ref="C34:AC34" si="15">SUM(C35:C42)</f>
        <v>3277.5</v>
      </c>
      <c r="D34" s="1">
        <f t="shared" si="15"/>
        <v>22071.7</v>
      </c>
      <c r="E34" s="1">
        <f t="shared" si="15"/>
        <v>0</v>
      </c>
      <c r="F34" s="1">
        <f t="shared" si="15"/>
        <v>0</v>
      </c>
      <c r="G34" s="1">
        <f t="shared" si="15"/>
        <v>26098.25</v>
      </c>
      <c r="H34" s="1">
        <f t="shared" si="15"/>
        <v>112948</v>
      </c>
      <c r="I34" s="1">
        <f t="shared" si="15"/>
        <v>112022.2</v>
      </c>
      <c r="J34" s="1">
        <f t="shared" si="15"/>
        <v>46872.75</v>
      </c>
      <c r="K34" s="1">
        <f t="shared" si="15"/>
        <v>20802.88</v>
      </c>
      <c r="L34" s="1">
        <f t="shared" si="15"/>
        <v>48151.65</v>
      </c>
      <c r="M34" s="1">
        <f t="shared" si="15"/>
        <v>799</v>
      </c>
      <c r="N34" s="1">
        <f t="shared" si="15"/>
        <v>0</v>
      </c>
      <c r="O34" s="1">
        <f t="shared" si="15"/>
        <v>393043.93</v>
      </c>
      <c r="P34" s="1">
        <f t="shared" si="15"/>
        <v>0</v>
      </c>
      <c r="Q34" s="1">
        <f t="shared" si="15"/>
        <v>0</v>
      </c>
      <c r="R34" s="1">
        <f t="shared" si="15"/>
        <v>0</v>
      </c>
      <c r="S34" s="1">
        <f t="shared" si="15"/>
        <v>0</v>
      </c>
      <c r="T34" s="1">
        <f t="shared" si="15"/>
        <v>0</v>
      </c>
      <c r="U34" s="1">
        <f t="shared" si="15"/>
        <v>0</v>
      </c>
      <c r="V34" s="1">
        <f t="shared" si="15"/>
        <v>0</v>
      </c>
      <c r="W34" s="1">
        <f t="shared" si="15"/>
        <v>0</v>
      </c>
      <c r="X34" s="1">
        <f t="shared" si="15"/>
        <v>0</v>
      </c>
      <c r="Y34" s="1">
        <f t="shared" si="15"/>
        <v>0</v>
      </c>
      <c r="Z34" s="1">
        <f t="shared" si="15"/>
        <v>0</v>
      </c>
      <c r="AA34" s="1">
        <f t="shared" si="15"/>
        <v>0</v>
      </c>
      <c r="AB34" s="45">
        <f t="shared" si="15"/>
        <v>406000</v>
      </c>
      <c r="AC34" s="45">
        <f t="shared" si="15"/>
        <v>185543</v>
      </c>
      <c r="AD34" s="1">
        <f t="shared" ref="AD34" si="16">SUM(AD35:AD42)</f>
        <v>252500</v>
      </c>
    </row>
    <row r="35" spans="2:33" outlineLevel="1" x14ac:dyDescent="0.3">
      <c r="B35" s="19" t="str">
        <f t="array" ref="B35">6360&amp;" - "&amp;"Renhold"</f>
        <v>6360 - Renhold</v>
      </c>
      <c r="C35" s="2"/>
      <c r="D35" s="2"/>
      <c r="E35" s="2"/>
      <c r="F35" s="2"/>
      <c r="G35" s="2"/>
      <c r="H35" s="2"/>
      <c r="I35" s="2"/>
      <c r="J35" s="2"/>
      <c r="K35" s="2"/>
      <c r="L35" s="2">
        <v>3945.8</v>
      </c>
      <c r="M35" s="2"/>
      <c r="N35" s="2"/>
      <c r="O35" s="2">
        <v>3945.8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54"/>
      <c r="AC35" s="47"/>
      <c r="AD35" s="18">
        <v>1500</v>
      </c>
    </row>
    <row r="36" spans="2:33" outlineLevel="1" x14ac:dyDescent="0.3">
      <c r="B36" s="19" t="str">
        <f t="array" ref="B36">6552&amp;" - "&amp;"Datautstyr (Programvare)"</f>
        <v>6552 - Datautstyr (Programvare)</v>
      </c>
      <c r="C36" s="2"/>
      <c r="D36" s="2">
        <v>583.20000000000005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>
        <v>583.20000000000005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54">
        <f>40000+3000</f>
        <v>43000</v>
      </c>
      <c r="AC36" s="47">
        <f>9592+2990</f>
        <v>12582</v>
      </c>
      <c r="AD36" s="18">
        <v>1000</v>
      </c>
    </row>
    <row r="37" spans="2:33" outlineLevel="1" x14ac:dyDescent="0.3">
      <c r="B37" s="19" t="str">
        <f t="array" ref="B37">6580&amp;" - "&amp;"Idrettsutstyr"</f>
        <v>6580 - Idrettsutstyr</v>
      </c>
      <c r="C37" s="2">
        <v>787.5</v>
      </c>
      <c r="D37" s="2">
        <v>21488.5</v>
      </c>
      <c r="E37" s="2"/>
      <c r="F37" s="2"/>
      <c r="G37" s="2">
        <v>26098.25</v>
      </c>
      <c r="H37" s="2">
        <v>109948</v>
      </c>
      <c r="I37" s="2">
        <v>37022.199999999997</v>
      </c>
      <c r="J37" s="2">
        <v>43272.75</v>
      </c>
      <c r="K37" s="2">
        <v>17302.88</v>
      </c>
      <c r="L37" s="2">
        <v>44205.85</v>
      </c>
      <c r="M37" s="2"/>
      <c r="N37" s="2"/>
      <c r="O37" s="2">
        <v>300125.93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54">
        <f>85000+3000</f>
        <v>88000</v>
      </c>
      <c r="AC37" s="47">
        <f>90600+320</f>
        <v>90920</v>
      </c>
      <c r="AD37" s="18">
        <v>150000</v>
      </c>
    </row>
    <row r="38" spans="2:33" outlineLevel="1" x14ac:dyDescent="0.3">
      <c r="B38" s="19" t="s">
        <v>41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54">
        <f>200000+20000</f>
        <v>220000</v>
      </c>
      <c r="AC38" s="47">
        <f>67210+199</f>
        <v>67409</v>
      </c>
      <c r="AD38" s="18">
        <v>60000</v>
      </c>
    </row>
    <row r="39" spans="2:33" outlineLevel="1" x14ac:dyDescent="0.3">
      <c r="B39" s="19" t="str">
        <f t="array" ref="B39">6600&amp;" - "&amp;"Reparasjon og vedlikehold bygninger"</f>
        <v>6600 - Reparasjon og vedlikehold bygninger</v>
      </c>
      <c r="C39" s="2"/>
      <c r="D39" s="2"/>
      <c r="E39" s="2"/>
      <c r="F39" s="2"/>
      <c r="G39" s="2"/>
      <c r="H39" s="2"/>
      <c r="I39" s="2">
        <v>75000</v>
      </c>
      <c r="J39" s="2"/>
      <c r="K39" s="2"/>
      <c r="L39" s="2"/>
      <c r="M39" s="2"/>
      <c r="N39" s="2"/>
      <c r="O39" s="2">
        <v>75000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54"/>
      <c r="AC39" s="47"/>
      <c r="AD39" s="18"/>
    </row>
    <row r="40" spans="2:33" outlineLevel="1" x14ac:dyDescent="0.3">
      <c r="B40" s="19" t="str">
        <f t="array" ref="B40">6800&amp;" - "&amp;"Kontorrekvisita"</f>
        <v>6800 - Kontorrekvisita</v>
      </c>
      <c r="C40" s="2"/>
      <c r="D40" s="2"/>
      <c r="E40" s="2"/>
      <c r="F40" s="2"/>
      <c r="G40" s="2"/>
      <c r="H40" s="2"/>
      <c r="I40" s="2"/>
      <c r="J40" s="2">
        <v>3600</v>
      </c>
      <c r="K40" s="2"/>
      <c r="L40" s="2"/>
      <c r="M40" s="2">
        <v>799</v>
      </c>
      <c r="N40" s="2"/>
      <c r="O40" s="2">
        <v>4399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54">
        <f>35000-25000</f>
        <v>10000</v>
      </c>
      <c r="AC40" s="47">
        <f>9596+583</f>
        <v>10179</v>
      </c>
      <c r="AD40" s="18">
        <v>5000</v>
      </c>
    </row>
    <row r="41" spans="2:33" outlineLevel="1" x14ac:dyDescent="0.3">
      <c r="B41" s="19" t="str">
        <f t="array" ref="B41">6860&amp;" - "&amp;"Møte, kurs, oppdatering etc"</f>
        <v>6860 - Møte, kurs, oppdatering etc</v>
      </c>
      <c r="C41" s="2">
        <v>1250</v>
      </c>
      <c r="D41" s="2"/>
      <c r="E41" s="2"/>
      <c r="F41" s="2"/>
      <c r="G41" s="2"/>
      <c r="H41" s="2">
        <v>3000</v>
      </c>
      <c r="I41" s="2"/>
      <c r="J41" s="2"/>
      <c r="K41" s="2">
        <v>3500</v>
      </c>
      <c r="L41" s="2"/>
      <c r="M41" s="2"/>
      <c r="N41" s="2"/>
      <c r="O41" s="2">
        <v>7750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54">
        <f>15000+30000</f>
        <v>45000</v>
      </c>
      <c r="AC41" s="47">
        <f>323+4130</f>
        <v>4453</v>
      </c>
      <c r="AD41" s="18">
        <v>35000</v>
      </c>
    </row>
    <row r="42" spans="2:33" outlineLevel="1" x14ac:dyDescent="0.3">
      <c r="B42" s="116" t="str">
        <f>6940&amp;" - "&amp;"Porto"</f>
        <v>6940 - Porto</v>
      </c>
      <c r="C42" s="54">
        <v>1240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>
        <v>1240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54"/>
      <c r="AC42" s="47"/>
      <c r="AD42" s="18"/>
      <c r="AE42" s="92"/>
      <c r="AF42" s="44"/>
      <c r="AG42" s="44"/>
    </row>
    <row r="43" spans="2:33" x14ac:dyDescent="0.3">
      <c r="B43" s="16" t="s">
        <v>21</v>
      </c>
      <c r="C43" s="1">
        <f t="shared" ref="C43:AC43" si="17">SUM(C44:C47)</f>
        <v>0</v>
      </c>
      <c r="D43" s="1">
        <f t="shared" si="17"/>
        <v>119.3</v>
      </c>
      <c r="E43" s="1">
        <f t="shared" si="17"/>
        <v>0</v>
      </c>
      <c r="F43" s="1">
        <f t="shared" si="17"/>
        <v>0</v>
      </c>
      <c r="G43" s="1">
        <f t="shared" si="17"/>
        <v>0</v>
      </c>
      <c r="H43" s="1">
        <f t="shared" si="17"/>
        <v>0</v>
      </c>
      <c r="I43" s="1">
        <f t="shared" si="17"/>
        <v>0</v>
      </c>
      <c r="J43" s="1">
        <f t="shared" si="17"/>
        <v>4563.38</v>
      </c>
      <c r="K43" s="1">
        <f t="shared" si="17"/>
        <v>601.54</v>
      </c>
      <c r="L43" s="1">
        <f t="shared" si="17"/>
        <v>2021.6599999999999</v>
      </c>
      <c r="M43" s="1">
        <f t="shared" si="17"/>
        <v>652.66</v>
      </c>
      <c r="N43" s="1">
        <f t="shared" si="17"/>
        <v>8904</v>
      </c>
      <c r="O43" s="1">
        <f t="shared" si="17"/>
        <v>16862.54</v>
      </c>
      <c r="P43" s="1">
        <f t="shared" si="17"/>
        <v>0</v>
      </c>
      <c r="Q43" s="1">
        <f t="shared" si="17"/>
        <v>0</v>
      </c>
      <c r="R43" s="1">
        <f t="shared" si="17"/>
        <v>0</v>
      </c>
      <c r="S43" s="1">
        <f t="shared" si="17"/>
        <v>0</v>
      </c>
      <c r="T43" s="1">
        <f t="shared" si="17"/>
        <v>0</v>
      </c>
      <c r="U43" s="1">
        <f t="shared" si="17"/>
        <v>0</v>
      </c>
      <c r="V43" s="1">
        <f t="shared" si="17"/>
        <v>0</v>
      </c>
      <c r="W43" s="1">
        <f t="shared" si="17"/>
        <v>0</v>
      </c>
      <c r="X43" s="1">
        <f t="shared" si="17"/>
        <v>0</v>
      </c>
      <c r="Y43" s="1">
        <f t="shared" si="17"/>
        <v>0</v>
      </c>
      <c r="Z43" s="1">
        <f t="shared" si="17"/>
        <v>0</v>
      </c>
      <c r="AA43" s="1">
        <f t="shared" si="17"/>
        <v>0</v>
      </c>
      <c r="AB43" s="45">
        <f t="shared" si="17"/>
        <v>0</v>
      </c>
      <c r="AC43" s="45">
        <f t="shared" si="17"/>
        <v>0</v>
      </c>
      <c r="AD43" s="1">
        <f t="shared" ref="AD43" si="18">SUM(AD44:AD47)</f>
        <v>25000</v>
      </c>
      <c r="AE43" s="44"/>
      <c r="AF43" s="44"/>
      <c r="AG43" s="44"/>
    </row>
    <row r="44" spans="2:33" outlineLevel="1" x14ac:dyDescent="0.3">
      <c r="B44" s="19" t="str">
        <f t="array" ref="B44">7100&amp;" - "&amp;"Bilgodtgjørelse"</f>
        <v>7100 - Bilgodtgjørelse</v>
      </c>
      <c r="C44" s="2"/>
      <c r="D44" s="2"/>
      <c r="E44" s="2"/>
      <c r="F44" s="2"/>
      <c r="G44" s="2"/>
      <c r="H44" s="2"/>
      <c r="I44" s="2"/>
      <c r="J44" s="2">
        <v>504.88</v>
      </c>
      <c r="K44" s="2">
        <v>495.14</v>
      </c>
      <c r="L44" s="2">
        <v>999.16</v>
      </c>
      <c r="M44" s="2">
        <v>199.16</v>
      </c>
      <c r="N44" s="2">
        <v>8904</v>
      </c>
      <c r="O44" s="2">
        <v>11102.34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54"/>
      <c r="AC44" s="47"/>
      <c r="AD44" s="18">
        <v>25000</v>
      </c>
      <c r="AE44" s="44"/>
      <c r="AF44" s="44"/>
      <c r="AG44" s="44"/>
    </row>
    <row r="45" spans="2:33" outlineLevel="1" x14ac:dyDescent="0.3">
      <c r="B45" s="19" t="str">
        <f t="array" ref="B45">7140&amp;" - "&amp;"Reisekostnad, ikke oppgavepliktig"</f>
        <v>7140 - Reisekostnad, ikke oppgavepliktig</v>
      </c>
      <c r="C45" s="2"/>
      <c r="D45" s="2"/>
      <c r="E45" s="2"/>
      <c r="F45" s="2"/>
      <c r="G45" s="2"/>
      <c r="H45" s="2"/>
      <c r="I45" s="2"/>
      <c r="J45" s="2">
        <v>20</v>
      </c>
      <c r="K45" s="2">
        <v>22.4</v>
      </c>
      <c r="L45" s="2"/>
      <c r="M45" s="2">
        <v>262</v>
      </c>
      <c r="N45" s="2"/>
      <c r="O45" s="2">
        <v>304.39999999999998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54"/>
      <c r="AC45" s="47"/>
      <c r="AD45" s="18"/>
      <c r="AE45" s="44"/>
      <c r="AF45" s="44"/>
      <c r="AG45" s="44"/>
    </row>
    <row r="46" spans="2:33" outlineLevel="1" x14ac:dyDescent="0.3">
      <c r="B46" s="19" t="str">
        <f t="array" ref="B46">7145&amp;" - "&amp;"Andre reisekostnader"</f>
        <v>7145 - Andre reisekostnader</v>
      </c>
      <c r="C46" s="2"/>
      <c r="D46" s="2"/>
      <c r="E46" s="2"/>
      <c r="F46" s="2"/>
      <c r="G46" s="2"/>
      <c r="H46" s="2"/>
      <c r="I46" s="2"/>
      <c r="J46" s="2">
        <v>198.2</v>
      </c>
      <c r="K46" s="2">
        <v>84</v>
      </c>
      <c r="L46" s="2">
        <v>642</v>
      </c>
      <c r="M46" s="2">
        <v>191.5</v>
      </c>
      <c r="N46" s="2"/>
      <c r="O46" s="2">
        <v>1115.7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54"/>
      <c r="AC46" s="47"/>
      <c r="AD46" s="18"/>
      <c r="AE46" s="44"/>
      <c r="AF46" s="44"/>
      <c r="AG46" s="44"/>
    </row>
    <row r="47" spans="2:33" outlineLevel="1" x14ac:dyDescent="0.3">
      <c r="B47" s="19" t="str">
        <f t="array" ref="B47">7162&amp;" - "&amp;"Bevertning/mat"</f>
        <v>7162 - Bevertning/mat</v>
      </c>
      <c r="C47" s="2"/>
      <c r="D47" s="2">
        <v>119.3</v>
      </c>
      <c r="E47" s="2"/>
      <c r="F47" s="2"/>
      <c r="G47" s="2"/>
      <c r="H47" s="2"/>
      <c r="I47" s="2"/>
      <c r="J47" s="2">
        <v>3840.3</v>
      </c>
      <c r="K47" s="2"/>
      <c r="L47" s="2">
        <v>380.5</v>
      </c>
      <c r="M47" s="2"/>
      <c r="N47" s="2"/>
      <c r="O47" s="2">
        <v>4340.1000000000004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54"/>
      <c r="AC47" s="47"/>
      <c r="AD47" s="18"/>
      <c r="AE47" s="44"/>
      <c r="AF47" s="44"/>
      <c r="AG47" s="44"/>
    </row>
    <row r="48" spans="2:33" x14ac:dyDescent="0.3">
      <c r="B48" s="16" t="s">
        <v>16</v>
      </c>
      <c r="C48" s="1">
        <f t="shared" ref="C48:AA48" si="19">SUM(0)</f>
        <v>0</v>
      </c>
      <c r="D48" s="1">
        <f t="shared" si="19"/>
        <v>0</v>
      </c>
      <c r="E48" s="1">
        <f t="shared" si="19"/>
        <v>0</v>
      </c>
      <c r="F48" s="1">
        <f t="shared" si="19"/>
        <v>0</v>
      </c>
      <c r="G48" s="1">
        <f t="shared" si="19"/>
        <v>0</v>
      </c>
      <c r="H48" s="1">
        <f t="shared" si="19"/>
        <v>0</v>
      </c>
      <c r="I48" s="1">
        <f t="shared" si="19"/>
        <v>0</v>
      </c>
      <c r="J48" s="1">
        <f t="shared" si="19"/>
        <v>0</v>
      </c>
      <c r="K48" s="1">
        <f t="shared" si="19"/>
        <v>0</v>
      </c>
      <c r="L48" s="1">
        <f t="shared" si="19"/>
        <v>0</v>
      </c>
      <c r="M48" s="1">
        <f t="shared" si="19"/>
        <v>0</v>
      </c>
      <c r="N48" s="1">
        <f t="shared" si="19"/>
        <v>0</v>
      </c>
      <c r="O48" s="1">
        <f t="shared" si="19"/>
        <v>0</v>
      </c>
      <c r="P48" s="1">
        <f t="shared" si="19"/>
        <v>0</v>
      </c>
      <c r="Q48" s="1">
        <f t="shared" si="19"/>
        <v>0</v>
      </c>
      <c r="R48" s="1">
        <f t="shared" si="19"/>
        <v>0</v>
      </c>
      <c r="S48" s="1">
        <f t="shared" si="19"/>
        <v>0</v>
      </c>
      <c r="T48" s="1">
        <f t="shared" si="19"/>
        <v>0</v>
      </c>
      <c r="U48" s="1">
        <f t="shared" si="19"/>
        <v>0</v>
      </c>
      <c r="V48" s="1">
        <f t="shared" si="19"/>
        <v>0</v>
      </c>
      <c r="W48" s="1">
        <f t="shared" si="19"/>
        <v>0</v>
      </c>
      <c r="X48" s="1">
        <f t="shared" si="19"/>
        <v>0</v>
      </c>
      <c r="Y48" s="1">
        <f t="shared" si="19"/>
        <v>0</v>
      </c>
      <c r="Z48" s="1">
        <f t="shared" si="19"/>
        <v>0</v>
      </c>
      <c r="AA48" s="1">
        <f t="shared" si="19"/>
        <v>0</v>
      </c>
      <c r="AB48" s="45">
        <f>AB49</f>
        <v>5000</v>
      </c>
      <c r="AC48" s="45">
        <f t="shared" ref="AC48:AD48" si="20">AC49</f>
        <v>0</v>
      </c>
      <c r="AD48" s="1">
        <f t="shared" si="20"/>
        <v>0</v>
      </c>
      <c r="AE48" s="44"/>
      <c r="AF48" s="44"/>
      <c r="AG48" s="44"/>
    </row>
    <row r="49" spans="2:30" x14ac:dyDescent="0.3">
      <c r="B49" s="19" t="str">
        <f t="array" ref="B49">7320&amp;" - "&amp;"Reklame og annonser"</f>
        <v>7320 - Reklame og annonser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6">
        <v>5000</v>
      </c>
      <c r="AC49" s="46"/>
      <c r="AD49" s="41"/>
    </row>
    <row r="50" spans="2:30" x14ac:dyDescent="0.3">
      <c r="B50" s="16" t="s">
        <v>17</v>
      </c>
      <c r="C50" s="1">
        <f t="shared" ref="C50:AC50" si="21">SUM(C51:C53)</f>
        <v>20500</v>
      </c>
      <c r="D50" s="1">
        <f t="shared" si="21"/>
        <v>22797</v>
      </c>
      <c r="E50" s="1">
        <f t="shared" si="21"/>
        <v>2650</v>
      </c>
      <c r="F50" s="1">
        <f t="shared" si="21"/>
        <v>-1500</v>
      </c>
      <c r="G50" s="1">
        <f t="shared" si="21"/>
        <v>0</v>
      </c>
      <c r="H50" s="1">
        <f t="shared" si="21"/>
        <v>0</v>
      </c>
      <c r="I50" s="1">
        <f t="shared" si="21"/>
        <v>0</v>
      </c>
      <c r="J50" s="1">
        <f t="shared" si="21"/>
        <v>15000</v>
      </c>
      <c r="K50" s="1">
        <f t="shared" si="21"/>
        <v>-7700</v>
      </c>
      <c r="L50" s="1">
        <f t="shared" si="21"/>
        <v>600</v>
      </c>
      <c r="M50" s="1">
        <f t="shared" si="21"/>
        <v>2950</v>
      </c>
      <c r="N50" s="1">
        <f t="shared" si="21"/>
        <v>-5725</v>
      </c>
      <c r="O50" s="1">
        <f t="shared" si="21"/>
        <v>46786</v>
      </c>
      <c r="P50" s="1">
        <f t="shared" si="21"/>
        <v>0</v>
      </c>
      <c r="Q50" s="1">
        <f t="shared" si="21"/>
        <v>0</v>
      </c>
      <c r="R50" s="1">
        <f t="shared" si="21"/>
        <v>0</v>
      </c>
      <c r="S50" s="1">
        <f t="shared" si="21"/>
        <v>0</v>
      </c>
      <c r="T50" s="1">
        <f t="shared" si="21"/>
        <v>0</v>
      </c>
      <c r="U50" s="1">
        <f t="shared" si="21"/>
        <v>0</v>
      </c>
      <c r="V50" s="1">
        <f t="shared" si="21"/>
        <v>0</v>
      </c>
      <c r="W50" s="1">
        <f t="shared" si="21"/>
        <v>0</v>
      </c>
      <c r="X50" s="1">
        <f t="shared" si="21"/>
        <v>0</v>
      </c>
      <c r="Y50" s="1">
        <f t="shared" si="21"/>
        <v>0</v>
      </c>
      <c r="Z50" s="1">
        <f t="shared" si="21"/>
        <v>0</v>
      </c>
      <c r="AA50" s="1">
        <f t="shared" si="21"/>
        <v>0</v>
      </c>
      <c r="AB50" s="45">
        <f t="shared" si="21"/>
        <v>70000</v>
      </c>
      <c r="AC50" s="45">
        <f t="shared" si="21"/>
        <v>56362</v>
      </c>
      <c r="AD50" s="1">
        <f t="shared" ref="AD50" si="22">SUM(AD51:AD53)</f>
        <v>100000</v>
      </c>
    </row>
    <row r="51" spans="2:30" outlineLevel="1" x14ac:dyDescent="0.3">
      <c r="B51" s="19" t="str">
        <f t="array" ref="B51">7410&amp;" - "&amp;"Påmelding serier, turneringer etc"</f>
        <v>7410 - Påmelding serier, turneringer etc</v>
      </c>
      <c r="C51" s="2">
        <v>15000</v>
      </c>
      <c r="D51" s="2">
        <v>19597</v>
      </c>
      <c r="E51" s="2">
        <v>2650</v>
      </c>
      <c r="F51" s="2">
        <v>-1500</v>
      </c>
      <c r="G51" s="2"/>
      <c r="H51" s="2"/>
      <c r="I51" s="2"/>
      <c r="J51" s="2">
        <v>14600</v>
      </c>
      <c r="K51" s="2">
        <v>-8600</v>
      </c>
      <c r="L51" s="2">
        <v>500</v>
      </c>
      <c r="M51" s="2">
        <v>1250</v>
      </c>
      <c r="N51" s="2">
        <v>-5725</v>
      </c>
      <c r="O51" s="2">
        <v>34986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54">
        <v>55000</v>
      </c>
      <c r="AC51" s="47">
        <v>49150</v>
      </c>
      <c r="AD51" s="18">
        <v>80000</v>
      </c>
    </row>
    <row r="52" spans="2:30" outlineLevel="1" x14ac:dyDescent="0.3">
      <c r="B52" s="19" t="s">
        <v>42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54">
        <v>5000</v>
      </c>
      <c r="AC52" s="47">
        <v>312</v>
      </c>
      <c r="AD52" s="18">
        <v>5000</v>
      </c>
    </row>
    <row r="53" spans="2:30" outlineLevel="1" x14ac:dyDescent="0.3">
      <c r="B53" s="19" t="str">
        <f t="array" ref="B53">7440&amp;" - "&amp;"Overgangsgebyrer"</f>
        <v>7440 - Overgangsgebyrer</v>
      </c>
      <c r="C53" s="2">
        <v>5500</v>
      </c>
      <c r="D53" s="2">
        <v>3200</v>
      </c>
      <c r="E53" s="2"/>
      <c r="F53" s="2"/>
      <c r="G53" s="2"/>
      <c r="H53" s="2"/>
      <c r="I53" s="2"/>
      <c r="J53" s="2">
        <v>400</v>
      </c>
      <c r="K53" s="2">
        <v>900</v>
      </c>
      <c r="L53" s="2">
        <v>100</v>
      </c>
      <c r="M53" s="2">
        <v>1700</v>
      </c>
      <c r="N53" s="2"/>
      <c r="O53" s="2">
        <v>11800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54">
        <v>10000</v>
      </c>
      <c r="AC53" s="47">
        <v>6900</v>
      </c>
      <c r="AD53" s="18">
        <v>15000</v>
      </c>
    </row>
    <row r="54" spans="2:30" x14ac:dyDescent="0.3">
      <c r="B54" s="16" t="s">
        <v>5</v>
      </c>
      <c r="C54" s="1">
        <f t="shared" ref="C54:AD54" si="23">SUM(0)</f>
        <v>0</v>
      </c>
      <c r="D54" s="1">
        <f t="shared" si="23"/>
        <v>0</v>
      </c>
      <c r="E54" s="1">
        <f t="shared" si="23"/>
        <v>0</v>
      </c>
      <c r="F54" s="1">
        <f t="shared" si="23"/>
        <v>0</v>
      </c>
      <c r="G54" s="1">
        <f t="shared" si="23"/>
        <v>0</v>
      </c>
      <c r="H54" s="1">
        <f t="shared" si="23"/>
        <v>0</v>
      </c>
      <c r="I54" s="1">
        <f t="shared" si="23"/>
        <v>0</v>
      </c>
      <c r="J54" s="1">
        <f t="shared" si="23"/>
        <v>0</v>
      </c>
      <c r="K54" s="1">
        <f t="shared" si="23"/>
        <v>0</v>
      </c>
      <c r="L54" s="1">
        <f t="shared" si="23"/>
        <v>0</v>
      </c>
      <c r="M54" s="1">
        <f t="shared" si="23"/>
        <v>0</v>
      </c>
      <c r="N54" s="1">
        <f t="shared" si="23"/>
        <v>0</v>
      </c>
      <c r="O54" s="1">
        <f t="shared" si="23"/>
        <v>0</v>
      </c>
      <c r="P54" s="1">
        <f t="shared" si="23"/>
        <v>0</v>
      </c>
      <c r="Q54" s="1">
        <f t="shared" si="23"/>
        <v>0</v>
      </c>
      <c r="R54" s="1">
        <f t="shared" si="23"/>
        <v>0</v>
      </c>
      <c r="S54" s="1">
        <f t="shared" si="23"/>
        <v>0</v>
      </c>
      <c r="T54" s="1">
        <f t="shared" si="23"/>
        <v>0</v>
      </c>
      <c r="U54" s="1">
        <f t="shared" si="23"/>
        <v>0</v>
      </c>
      <c r="V54" s="1">
        <f t="shared" si="23"/>
        <v>0</v>
      </c>
      <c r="W54" s="1">
        <f t="shared" si="23"/>
        <v>0</v>
      </c>
      <c r="X54" s="1">
        <f t="shared" si="23"/>
        <v>0</v>
      </c>
      <c r="Y54" s="1">
        <f t="shared" si="23"/>
        <v>0</v>
      </c>
      <c r="Z54" s="1">
        <f t="shared" si="23"/>
        <v>0</v>
      </c>
      <c r="AA54" s="1">
        <f t="shared" si="23"/>
        <v>0</v>
      </c>
      <c r="AB54" s="45">
        <f t="shared" si="23"/>
        <v>0</v>
      </c>
      <c r="AC54" s="45">
        <f t="shared" si="23"/>
        <v>0</v>
      </c>
      <c r="AD54" s="1">
        <f t="shared" si="23"/>
        <v>0</v>
      </c>
    </row>
    <row r="55" spans="2:30" x14ac:dyDescent="0.3">
      <c r="B55" s="16" t="s">
        <v>9</v>
      </c>
      <c r="C55" s="1">
        <f t="shared" ref="C55:AC55" si="24">SUM(C56:C60)</f>
        <v>5392.02</v>
      </c>
      <c r="D55" s="1">
        <f t="shared" si="24"/>
        <v>210</v>
      </c>
      <c r="E55" s="1">
        <f t="shared" si="24"/>
        <v>24011.5</v>
      </c>
      <c r="F55" s="1">
        <f t="shared" si="24"/>
        <v>648.59</v>
      </c>
      <c r="G55" s="1">
        <f t="shared" si="24"/>
        <v>14</v>
      </c>
      <c r="H55" s="1">
        <f t="shared" si="24"/>
        <v>1139</v>
      </c>
      <c r="I55" s="1">
        <f t="shared" si="24"/>
        <v>0</v>
      </c>
      <c r="J55" s="1">
        <f t="shared" si="24"/>
        <v>0</v>
      </c>
      <c r="K55" s="1">
        <f t="shared" si="24"/>
        <v>-600</v>
      </c>
      <c r="L55" s="1">
        <f t="shared" si="24"/>
        <v>70</v>
      </c>
      <c r="M55" s="1">
        <f t="shared" si="24"/>
        <v>92100</v>
      </c>
      <c r="N55" s="1">
        <f t="shared" si="24"/>
        <v>0</v>
      </c>
      <c r="O55" s="1">
        <f t="shared" si="24"/>
        <v>122985.11</v>
      </c>
      <c r="P55" s="1">
        <f t="shared" si="24"/>
        <v>0</v>
      </c>
      <c r="Q55" s="1">
        <f t="shared" si="24"/>
        <v>0</v>
      </c>
      <c r="R55" s="1">
        <f t="shared" si="24"/>
        <v>0</v>
      </c>
      <c r="S55" s="1">
        <f t="shared" si="24"/>
        <v>0</v>
      </c>
      <c r="T55" s="1">
        <f t="shared" si="24"/>
        <v>0</v>
      </c>
      <c r="U55" s="1">
        <f t="shared" si="24"/>
        <v>0</v>
      </c>
      <c r="V55" s="1">
        <f t="shared" si="24"/>
        <v>0</v>
      </c>
      <c r="W55" s="1">
        <f t="shared" si="24"/>
        <v>0</v>
      </c>
      <c r="X55" s="1">
        <f t="shared" si="24"/>
        <v>0</v>
      </c>
      <c r="Y55" s="1">
        <f t="shared" si="24"/>
        <v>0</v>
      </c>
      <c r="Z55" s="1">
        <f t="shared" si="24"/>
        <v>0</v>
      </c>
      <c r="AA55" s="1">
        <f t="shared" si="24"/>
        <v>0</v>
      </c>
      <c r="AB55" s="45">
        <f t="shared" si="24"/>
        <v>55000</v>
      </c>
      <c r="AC55" s="45">
        <f t="shared" si="24"/>
        <v>54200</v>
      </c>
      <c r="AD55" s="1">
        <f t="shared" ref="AD55" si="25">SUM(AD56:AD60)</f>
        <v>42000</v>
      </c>
    </row>
    <row r="56" spans="2:30" outlineLevel="1" x14ac:dyDescent="0.3">
      <c r="B56" s="19" t="str">
        <f t="array" ref="B56">7500&amp;" - "&amp;"Forsikringspremier"</f>
        <v>7500 - Forsikringspremier</v>
      </c>
      <c r="C56" s="2"/>
      <c r="D56" s="2"/>
      <c r="E56" s="2">
        <v>21200</v>
      </c>
      <c r="F56" s="2"/>
      <c r="G56" s="2"/>
      <c r="H56" s="2"/>
      <c r="I56" s="2"/>
      <c r="J56" s="2"/>
      <c r="K56" s="2">
        <v>-600</v>
      </c>
      <c r="L56" s="2"/>
      <c r="M56" s="2"/>
      <c r="N56" s="2"/>
      <c r="O56" s="2">
        <v>20600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54"/>
      <c r="AC56" s="47"/>
      <c r="AD56" s="18">
        <v>22000</v>
      </c>
    </row>
    <row r="57" spans="2:30" outlineLevel="1" x14ac:dyDescent="0.3">
      <c r="B57" s="19" t="str">
        <f t="array" ref="B57">7770&amp;" - "&amp;"Bank og kortgebyrer"</f>
        <v>7770 - Bank og kortgebyrer</v>
      </c>
      <c r="C57" s="2"/>
      <c r="D57" s="2">
        <v>210</v>
      </c>
      <c r="E57" s="2">
        <v>374</v>
      </c>
      <c r="F57" s="2">
        <v>104</v>
      </c>
      <c r="G57" s="2">
        <v>14</v>
      </c>
      <c r="H57" s="2"/>
      <c r="I57" s="2"/>
      <c r="J57" s="2"/>
      <c r="K57" s="2"/>
      <c r="L57" s="2"/>
      <c r="M57" s="2"/>
      <c r="N57" s="2"/>
      <c r="O57" s="2">
        <v>702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54"/>
      <c r="AC57" s="47"/>
      <c r="AD57" s="18"/>
    </row>
    <row r="58" spans="2:30" outlineLevel="1" x14ac:dyDescent="0.3">
      <c r="B58" s="19" t="str">
        <f t="array" ref="B58">7780&amp;" - "&amp;"Bøter, sanksjoner"</f>
        <v>7780 - Bøter, sanksjoner</v>
      </c>
      <c r="C58" s="2">
        <v>5500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>
        <v>5500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54">
        <v>20000</v>
      </c>
      <c r="AC58" s="47">
        <v>34150</v>
      </c>
      <c r="AD58" s="18">
        <v>10000</v>
      </c>
    </row>
    <row r="59" spans="2:30" outlineLevel="1" x14ac:dyDescent="0.3">
      <c r="B59" s="19" t="str">
        <f t="array" ref="B59">7790&amp;" - "&amp;"Diverse kostnader"</f>
        <v>7790 - Diverse kostnader</v>
      </c>
      <c r="C59" s="2">
        <v>-107.98</v>
      </c>
      <c r="D59" s="2"/>
      <c r="E59" s="2">
        <v>2437.5</v>
      </c>
      <c r="F59" s="2">
        <v>544.59</v>
      </c>
      <c r="G59" s="2"/>
      <c r="H59" s="2">
        <v>1139</v>
      </c>
      <c r="I59" s="2"/>
      <c r="J59" s="2"/>
      <c r="K59" s="2"/>
      <c r="L59" s="2">
        <v>70</v>
      </c>
      <c r="M59" s="2"/>
      <c r="N59" s="2"/>
      <c r="O59" s="2">
        <v>4083.11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54">
        <f>20000+15000</f>
        <v>35000</v>
      </c>
      <c r="AC59" s="47">
        <v>20050</v>
      </c>
      <c r="AD59" s="18">
        <v>10000</v>
      </c>
    </row>
    <row r="60" spans="2:30" outlineLevel="1" x14ac:dyDescent="0.3">
      <c r="B60" s="19" t="str">
        <f t="array" ref="B60">7830&amp;" - "&amp;"Tap på fordringer"</f>
        <v>7830 - Tap på fordringer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>
        <v>92100</v>
      </c>
      <c r="N60" s="2"/>
      <c r="O60" s="2">
        <v>92100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54"/>
      <c r="AC60" s="47"/>
      <c r="AD60" s="18"/>
    </row>
    <row r="61" spans="2:30" x14ac:dyDescent="0.3">
      <c r="B61" s="25" t="s">
        <v>3</v>
      </c>
      <c r="C61" s="6" t="e">
        <f>C55+C54+C50+C48+#REF!+C43+C34+C29+C27</f>
        <v>#REF!</v>
      </c>
      <c r="D61" s="6" t="e">
        <f>D55+D54+D50+D48+#REF!+D43+D34+D29+D27</f>
        <v>#REF!</v>
      </c>
      <c r="E61" s="6" t="e">
        <f>E55+E54+E50+E48+#REF!+E43+E34+E29+E27</f>
        <v>#REF!</v>
      </c>
      <c r="F61" s="6" t="e">
        <f>F55+F54+F50+F48+#REF!+F43+F34+F29+F27</f>
        <v>#REF!</v>
      </c>
      <c r="G61" s="6" t="e">
        <f>G55+G54+G50+G48+#REF!+G43+G34+G29+G27</f>
        <v>#REF!</v>
      </c>
      <c r="H61" s="6" t="e">
        <f>H55+H54+H50+H48+#REF!+H43+H34+H29+H27</f>
        <v>#REF!</v>
      </c>
      <c r="I61" s="6" t="e">
        <f>I55+I54+I50+I48+#REF!+I43+I34+I29+I27</f>
        <v>#REF!</v>
      </c>
      <c r="J61" s="6" t="e">
        <f>J55+J54+J50+J48+#REF!+J43+J34+J29+J27</f>
        <v>#REF!</v>
      </c>
      <c r="K61" s="6" t="e">
        <f>K55+K54+K50+K48+#REF!+K43+K34+K29+K27</f>
        <v>#REF!</v>
      </c>
      <c r="L61" s="6" t="e">
        <f>L55+L54+L50+L48+#REF!+L43+L34+L29+L27</f>
        <v>#REF!</v>
      </c>
      <c r="M61" s="6" t="e">
        <f>M55+M54+M50+M48+#REF!+M43+M34+M29+M27</f>
        <v>#REF!</v>
      </c>
      <c r="N61" s="6" t="e">
        <f>N55+N54+N50+N48+#REF!+N43+N34+N29+N27</f>
        <v>#REF!</v>
      </c>
      <c r="O61" s="6">
        <f>O55+O54+O50+O48+O43+O34+O29+O27</f>
        <v>696950.58</v>
      </c>
      <c r="P61" s="6">
        <f t="shared" ref="P61:AD61" si="26">P55+P54+P50+P48+P43+P34+P29+P27</f>
        <v>0</v>
      </c>
      <c r="Q61" s="6">
        <f t="shared" si="26"/>
        <v>0</v>
      </c>
      <c r="R61" s="6">
        <f t="shared" si="26"/>
        <v>0</v>
      </c>
      <c r="S61" s="6">
        <f t="shared" si="26"/>
        <v>0</v>
      </c>
      <c r="T61" s="6">
        <f t="shared" si="26"/>
        <v>0</v>
      </c>
      <c r="U61" s="6">
        <f t="shared" si="26"/>
        <v>0</v>
      </c>
      <c r="V61" s="6">
        <f t="shared" si="26"/>
        <v>0</v>
      </c>
      <c r="W61" s="6">
        <f t="shared" si="26"/>
        <v>0</v>
      </c>
      <c r="X61" s="6">
        <f t="shared" si="26"/>
        <v>0</v>
      </c>
      <c r="Y61" s="6">
        <f t="shared" si="26"/>
        <v>0</v>
      </c>
      <c r="Z61" s="6">
        <f t="shared" si="26"/>
        <v>0</v>
      </c>
      <c r="AA61" s="6">
        <f t="shared" si="26"/>
        <v>0</v>
      </c>
      <c r="AB61" s="6">
        <f t="shared" si="26"/>
        <v>676000</v>
      </c>
      <c r="AC61" s="6">
        <f t="shared" si="26"/>
        <v>414908</v>
      </c>
      <c r="AD61" s="6">
        <f t="shared" si="26"/>
        <v>587500</v>
      </c>
    </row>
    <row r="62" spans="2:30" x14ac:dyDescent="0.3"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55"/>
      <c r="AC62" s="52"/>
      <c r="AD62" s="22"/>
    </row>
    <row r="63" spans="2:30" x14ac:dyDescent="0.3"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55"/>
      <c r="AC63" s="52"/>
      <c r="AD63" s="22"/>
    </row>
    <row r="64" spans="2:30" x14ac:dyDescent="0.3"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55"/>
      <c r="AC64" s="52"/>
      <c r="AD64" s="22"/>
    </row>
    <row r="65" spans="2:30" x14ac:dyDescent="0.3">
      <c r="B65" s="16" t="s">
        <v>20</v>
      </c>
      <c r="C65" s="1">
        <f t="shared" ref="C65:AD65" si="27">SUM(0)</f>
        <v>0</v>
      </c>
      <c r="D65" s="1">
        <f t="shared" si="27"/>
        <v>0</v>
      </c>
      <c r="E65" s="1">
        <f t="shared" si="27"/>
        <v>0</v>
      </c>
      <c r="F65" s="1">
        <f t="shared" si="27"/>
        <v>0</v>
      </c>
      <c r="G65" s="1">
        <f t="shared" si="27"/>
        <v>0</v>
      </c>
      <c r="H65" s="1">
        <f t="shared" si="27"/>
        <v>0</v>
      </c>
      <c r="I65" s="1">
        <f t="shared" si="27"/>
        <v>0</v>
      </c>
      <c r="J65" s="1">
        <f t="shared" si="27"/>
        <v>0</v>
      </c>
      <c r="K65" s="1">
        <f t="shared" si="27"/>
        <v>0</v>
      </c>
      <c r="L65" s="1">
        <f t="shared" si="27"/>
        <v>0</v>
      </c>
      <c r="M65" s="1">
        <f t="shared" si="27"/>
        <v>0</v>
      </c>
      <c r="N65" s="1">
        <f t="shared" si="27"/>
        <v>0</v>
      </c>
      <c r="O65" s="1">
        <f t="shared" si="27"/>
        <v>0</v>
      </c>
      <c r="P65" s="1">
        <f t="shared" si="27"/>
        <v>0</v>
      </c>
      <c r="Q65" s="1">
        <f t="shared" si="27"/>
        <v>0</v>
      </c>
      <c r="R65" s="1">
        <f t="shared" si="27"/>
        <v>0</v>
      </c>
      <c r="S65" s="1">
        <f t="shared" si="27"/>
        <v>0</v>
      </c>
      <c r="T65" s="1">
        <f t="shared" si="27"/>
        <v>0</v>
      </c>
      <c r="U65" s="1">
        <f t="shared" si="27"/>
        <v>0</v>
      </c>
      <c r="V65" s="1">
        <f t="shared" si="27"/>
        <v>0</v>
      </c>
      <c r="W65" s="1">
        <f t="shared" si="27"/>
        <v>0</v>
      </c>
      <c r="X65" s="1">
        <f t="shared" si="27"/>
        <v>0</v>
      </c>
      <c r="Y65" s="1">
        <f t="shared" si="27"/>
        <v>0</v>
      </c>
      <c r="Z65" s="1">
        <f t="shared" si="27"/>
        <v>0</v>
      </c>
      <c r="AA65" s="1">
        <f t="shared" si="27"/>
        <v>0</v>
      </c>
      <c r="AB65" s="45">
        <f t="shared" si="27"/>
        <v>0</v>
      </c>
      <c r="AC65" s="45">
        <f t="shared" si="27"/>
        <v>0</v>
      </c>
      <c r="AD65" s="1">
        <f t="shared" si="27"/>
        <v>0</v>
      </c>
    </row>
    <row r="66" spans="2:30" ht="16.2" thickBot="1" x14ac:dyDescent="0.35">
      <c r="B66" s="31" t="s">
        <v>120</v>
      </c>
      <c r="C66" s="5" t="e">
        <f t="shared" ref="C66:AD66" si="28">C65+C61+C23</f>
        <v>#REF!</v>
      </c>
      <c r="D66" s="5" t="e">
        <f t="shared" si="28"/>
        <v>#REF!</v>
      </c>
      <c r="E66" s="5" t="e">
        <f t="shared" si="28"/>
        <v>#REF!</v>
      </c>
      <c r="F66" s="5" t="e">
        <f t="shared" si="28"/>
        <v>#REF!</v>
      </c>
      <c r="G66" s="5" t="e">
        <f t="shared" si="28"/>
        <v>#REF!</v>
      </c>
      <c r="H66" s="5" t="e">
        <f t="shared" si="28"/>
        <v>#REF!</v>
      </c>
      <c r="I66" s="5" t="e">
        <f t="shared" si="28"/>
        <v>#REF!</v>
      </c>
      <c r="J66" s="5" t="e">
        <f t="shared" si="28"/>
        <v>#REF!</v>
      </c>
      <c r="K66" s="5" t="e">
        <f t="shared" si="28"/>
        <v>#REF!</v>
      </c>
      <c r="L66" s="5" t="e">
        <f t="shared" si="28"/>
        <v>#REF!</v>
      </c>
      <c r="M66" s="5" t="e">
        <f t="shared" si="28"/>
        <v>#REF!</v>
      </c>
      <c r="N66" s="5" t="e">
        <f t="shared" si="28"/>
        <v>#REF!</v>
      </c>
      <c r="O66" s="5">
        <f t="shared" si="28"/>
        <v>256350.46999999997</v>
      </c>
      <c r="P66" s="5">
        <f t="shared" si="28"/>
        <v>0</v>
      </c>
      <c r="Q66" s="5">
        <f t="shared" si="28"/>
        <v>0</v>
      </c>
      <c r="R66" s="5">
        <f t="shared" si="28"/>
        <v>0</v>
      </c>
      <c r="S66" s="5">
        <f t="shared" si="28"/>
        <v>0</v>
      </c>
      <c r="T66" s="5">
        <f t="shared" si="28"/>
        <v>0</v>
      </c>
      <c r="U66" s="5">
        <f t="shared" si="28"/>
        <v>0</v>
      </c>
      <c r="V66" s="5">
        <f t="shared" si="28"/>
        <v>0</v>
      </c>
      <c r="W66" s="5">
        <f t="shared" si="28"/>
        <v>0</v>
      </c>
      <c r="X66" s="5">
        <f t="shared" si="28"/>
        <v>0</v>
      </c>
      <c r="Y66" s="5">
        <f t="shared" si="28"/>
        <v>0</v>
      </c>
      <c r="Z66" s="5">
        <f t="shared" si="28"/>
        <v>0</v>
      </c>
      <c r="AA66" s="5">
        <f t="shared" si="28"/>
        <v>0</v>
      </c>
      <c r="AB66" s="53">
        <f t="shared" si="28"/>
        <v>202000</v>
      </c>
      <c r="AC66" s="53">
        <f t="shared" si="28"/>
        <v>-78820</v>
      </c>
      <c r="AD66" s="5">
        <f t="shared" si="28"/>
        <v>92500</v>
      </c>
    </row>
    <row r="67" spans="2:30" ht="15" thickTop="1" x14ac:dyDescent="0.3"/>
  </sheetData>
  <sheetProtection algorithmName="SHA-512" hashValue="lPDh676WQWSgX9H4JjpfPGsmlf1QABwFU/Swm9P8bjYwMSYxQN+oFZPruZka/cBnFAFObzWoF8pRP6GF8MjrWg==" saltValue="cAe8/57Q2P1i3iNrlW6rY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D34"/>
  <sheetViews>
    <sheetView topLeftCell="B7" workbookViewId="0">
      <selection activeCell="AJ12" sqref="AJ12"/>
    </sheetView>
  </sheetViews>
  <sheetFormatPr baseColWidth="10" defaultColWidth="9.109375" defaultRowHeight="14.4" outlineLevelRow="1" outlineLevelCol="1" x14ac:dyDescent="0.3"/>
  <cols>
    <col min="2" max="2" width="40.6640625" customWidth="1"/>
    <col min="3" max="14" width="10.109375" hidden="1" customWidth="1" outlineLevel="1"/>
    <col min="15" max="15" width="11" customWidth="1" collapsed="1"/>
    <col min="16" max="27" width="11" hidden="1" customWidth="1" outlineLevel="1"/>
    <col min="28" max="28" width="11" customWidth="1" collapsed="1"/>
    <col min="29" max="30" width="11" customWidth="1"/>
  </cols>
  <sheetData>
    <row r="2" spans="2:30" ht="25.8" x14ac:dyDescent="0.5">
      <c r="B2" s="24" t="s">
        <v>116</v>
      </c>
    </row>
    <row r="6" spans="2:30" ht="15.6" x14ac:dyDescent="0.3">
      <c r="B6" s="2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14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 t="s">
        <v>13</v>
      </c>
      <c r="AC6" s="9" t="s">
        <v>14</v>
      </c>
      <c r="AD6" s="9" t="s">
        <v>13</v>
      </c>
    </row>
    <row r="7" spans="2:30" ht="15.6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20">
        <v>2020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20" t="s">
        <v>11</v>
      </c>
      <c r="AC7" s="20">
        <v>2019</v>
      </c>
      <c r="AD7" s="20">
        <v>2021</v>
      </c>
    </row>
    <row r="8" spans="2:30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2:30" ht="21" x14ac:dyDescent="0.4">
      <c r="B9" s="21" t="s">
        <v>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2:30" x14ac:dyDescent="0.3">
      <c r="B10" s="16" t="s">
        <v>5</v>
      </c>
      <c r="C10" s="1">
        <f t="shared" ref="C10:AC10" si="0">SUM(C11)</f>
        <v>0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-2994.76</v>
      </c>
      <c r="H10" s="1">
        <f t="shared" si="0"/>
        <v>0</v>
      </c>
      <c r="I10" s="1">
        <f t="shared" si="0"/>
        <v>0</v>
      </c>
      <c r="J10" s="1">
        <f t="shared" si="0"/>
        <v>0</v>
      </c>
      <c r="K10" s="1">
        <f t="shared" si="0"/>
        <v>0</v>
      </c>
      <c r="L10" s="1">
        <f t="shared" si="0"/>
        <v>0</v>
      </c>
      <c r="M10" s="1">
        <f t="shared" si="0"/>
        <v>0</v>
      </c>
      <c r="N10" s="1">
        <f t="shared" si="0"/>
        <v>0</v>
      </c>
      <c r="O10" s="1">
        <f t="shared" si="0"/>
        <v>-2994.76</v>
      </c>
      <c r="P10" s="1">
        <f t="shared" si="0"/>
        <v>0</v>
      </c>
      <c r="Q10" s="1">
        <f t="shared" si="0"/>
        <v>0</v>
      </c>
      <c r="R10" s="1">
        <f t="shared" si="0"/>
        <v>0</v>
      </c>
      <c r="S10" s="1">
        <f t="shared" si="0"/>
        <v>0</v>
      </c>
      <c r="T10" s="1">
        <f t="shared" si="0"/>
        <v>0</v>
      </c>
      <c r="U10" s="1">
        <f t="shared" si="0"/>
        <v>0</v>
      </c>
      <c r="V10" s="1">
        <f t="shared" si="0"/>
        <v>0</v>
      </c>
      <c r="W10" s="1">
        <f t="shared" si="0"/>
        <v>0</v>
      </c>
      <c r="X10" s="1">
        <f t="shared" si="0"/>
        <v>0</v>
      </c>
      <c r="Y10" s="1">
        <f t="shared" si="0"/>
        <v>0</v>
      </c>
      <c r="Z10" s="1">
        <f t="shared" si="0"/>
        <v>0</v>
      </c>
      <c r="AA10" s="1">
        <f t="shared" si="0"/>
        <v>0</v>
      </c>
      <c r="AB10" s="1">
        <f t="shared" si="0"/>
        <v>-2000</v>
      </c>
      <c r="AC10" s="1">
        <f t="shared" si="0"/>
        <v>0</v>
      </c>
      <c r="AD10" s="1">
        <f>SUM(AD11)</f>
        <v>-3000</v>
      </c>
    </row>
    <row r="11" spans="2:30" outlineLevel="1" x14ac:dyDescent="0.3">
      <c r="B11" s="19" t="s">
        <v>24</v>
      </c>
      <c r="C11" s="2"/>
      <c r="D11" s="2"/>
      <c r="E11" s="2"/>
      <c r="F11" s="2"/>
      <c r="G11" s="2">
        <v>-2994.76</v>
      </c>
      <c r="H11" s="2"/>
      <c r="I11" s="2"/>
      <c r="J11" s="2"/>
      <c r="K11" s="2"/>
      <c r="L11" s="2"/>
      <c r="M11" s="2"/>
      <c r="N11" s="2"/>
      <c r="O11" s="2">
        <v>-2994.76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>
        <v>-2000</v>
      </c>
      <c r="AC11" s="18"/>
      <c r="AD11" s="18">
        <f>-500-2500</f>
        <v>-3000</v>
      </c>
    </row>
    <row r="12" spans="2:30" x14ac:dyDescent="0.3">
      <c r="B12" s="16" t="s">
        <v>6</v>
      </c>
      <c r="C12" s="1">
        <f t="shared" ref="C12:AD12" si="1">SUM(0)</f>
        <v>0</v>
      </c>
      <c r="D12" s="1">
        <f t="shared" si="1"/>
        <v>0</v>
      </c>
      <c r="E12" s="1">
        <f t="shared" si="1"/>
        <v>0</v>
      </c>
      <c r="F12" s="1">
        <f t="shared" si="1"/>
        <v>0</v>
      </c>
      <c r="G12" s="1">
        <f t="shared" si="1"/>
        <v>0</v>
      </c>
      <c r="H12" s="1">
        <f t="shared" si="1"/>
        <v>0</v>
      </c>
      <c r="I12" s="1">
        <f t="shared" si="1"/>
        <v>0</v>
      </c>
      <c r="J12" s="1">
        <f t="shared" si="1"/>
        <v>0</v>
      </c>
      <c r="K12" s="1">
        <f t="shared" si="1"/>
        <v>0</v>
      </c>
      <c r="L12" s="1">
        <f t="shared" si="1"/>
        <v>0</v>
      </c>
      <c r="M12" s="1">
        <f t="shared" si="1"/>
        <v>0</v>
      </c>
      <c r="N12" s="1">
        <f t="shared" si="1"/>
        <v>0</v>
      </c>
      <c r="O12" s="1">
        <f t="shared" si="1"/>
        <v>0</v>
      </c>
      <c r="P12" s="1">
        <f t="shared" si="1"/>
        <v>0</v>
      </c>
      <c r="Q12" s="1">
        <f t="shared" si="1"/>
        <v>0</v>
      </c>
      <c r="R12" s="1">
        <f t="shared" si="1"/>
        <v>0</v>
      </c>
      <c r="S12" s="1">
        <f t="shared" si="1"/>
        <v>0</v>
      </c>
      <c r="T12" s="1">
        <f t="shared" si="1"/>
        <v>0</v>
      </c>
      <c r="U12" s="1">
        <f t="shared" si="1"/>
        <v>0</v>
      </c>
      <c r="V12" s="1">
        <f t="shared" si="1"/>
        <v>0</v>
      </c>
      <c r="W12" s="1">
        <f t="shared" si="1"/>
        <v>0</v>
      </c>
      <c r="X12" s="1">
        <f t="shared" si="1"/>
        <v>0</v>
      </c>
      <c r="Y12" s="1">
        <f t="shared" si="1"/>
        <v>0</v>
      </c>
      <c r="Z12" s="1">
        <f t="shared" si="1"/>
        <v>0</v>
      </c>
      <c r="AA12" s="1">
        <f t="shared" si="1"/>
        <v>0</v>
      </c>
      <c r="AB12" s="1">
        <f t="shared" si="1"/>
        <v>0</v>
      </c>
      <c r="AC12" s="1">
        <f t="shared" si="1"/>
        <v>0</v>
      </c>
      <c r="AD12" s="1">
        <f t="shared" si="1"/>
        <v>0</v>
      </c>
    </row>
    <row r="13" spans="2:30" x14ac:dyDescent="0.3">
      <c r="B13" s="16" t="s">
        <v>10</v>
      </c>
      <c r="C13" s="1">
        <f t="shared" ref="C13:AC13" si="2">SUM(C14:C17)</f>
        <v>200</v>
      </c>
      <c r="D13" s="1">
        <f t="shared" si="2"/>
        <v>-13300</v>
      </c>
      <c r="E13" s="1">
        <f t="shared" si="2"/>
        <v>-700</v>
      </c>
      <c r="F13" s="1">
        <f t="shared" si="2"/>
        <v>0</v>
      </c>
      <c r="G13" s="1">
        <f t="shared" si="2"/>
        <v>-6327.61</v>
      </c>
      <c r="H13" s="1">
        <f t="shared" si="2"/>
        <v>-31.42</v>
      </c>
      <c r="I13" s="1">
        <f t="shared" si="2"/>
        <v>0</v>
      </c>
      <c r="J13" s="1">
        <f t="shared" si="2"/>
        <v>-37.32</v>
      </c>
      <c r="K13" s="1">
        <f t="shared" si="2"/>
        <v>-7498.28</v>
      </c>
      <c r="L13" s="1">
        <f t="shared" si="2"/>
        <v>-42.57</v>
      </c>
      <c r="M13" s="1">
        <f t="shared" si="2"/>
        <v>0</v>
      </c>
      <c r="N13" s="1">
        <f t="shared" si="2"/>
        <v>-7515.83</v>
      </c>
      <c r="O13" s="1">
        <f t="shared" si="2"/>
        <v>-35253.03</v>
      </c>
      <c r="P13" s="1">
        <f t="shared" si="2"/>
        <v>0</v>
      </c>
      <c r="Q13" s="1">
        <f t="shared" si="2"/>
        <v>0</v>
      </c>
      <c r="R13" s="1">
        <f t="shared" si="2"/>
        <v>0</v>
      </c>
      <c r="S13" s="1">
        <f t="shared" si="2"/>
        <v>0</v>
      </c>
      <c r="T13" s="1">
        <f t="shared" si="2"/>
        <v>0</v>
      </c>
      <c r="U13" s="1">
        <f t="shared" si="2"/>
        <v>0</v>
      </c>
      <c r="V13" s="1">
        <f t="shared" si="2"/>
        <v>0</v>
      </c>
      <c r="W13" s="1">
        <f t="shared" si="2"/>
        <v>0</v>
      </c>
      <c r="X13" s="1">
        <f t="shared" si="2"/>
        <v>0</v>
      </c>
      <c r="Y13" s="1">
        <f t="shared" si="2"/>
        <v>0</v>
      </c>
      <c r="Z13" s="1">
        <f t="shared" si="2"/>
        <v>0</v>
      </c>
      <c r="AA13" s="1">
        <f t="shared" si="2"/>
        <v>0</v>
      </c>
      <c r="AB13" s="1">
        <f t="shared" si="2"/>
        <v>-28300</v>
      </c>
      <c r="AC13" s="1">
        <f t="shared" si="2"/>
        <v>-2850</v>
      </c>
      <c r="AD13" s="1">
        <f t="shared" ref="AD13" si="3">SUM(AD14:AD17)</f>
        <v>-30000</v>
      </c>
    </row>
    <row r="14" spans="2:30" outlineLevel="1" x14ac:dyDescent="0.3">
      <c r="B14" s="19" t="str">
        <f t="array" ref="B14">3930&amp;" - "&amp;"Treningsavgifter"</f>
        <v>3930 - Treningsavgifter</v>
      </c>
      <c r="C14" s="2">
        <v>200</v>
      </c>
      <c r="D14" s="2">
        <v>-13300</v>
      </c>
      <c r="E14" s="2">
        <v>-700</v>
      </c>
      <c r="F14" s="2"/>
      <c r="G14" s="2"/>
      <c r="H14" s="2"/>
      <c r="I14" s="2"/>
      <c r="J14" s="2"/>
      <c r="K14" s="2"/>
      <c r="L14" s="2"/>
      <c r="M14" s="2"/>
      <c r="N14" s="2"/>
      <c r="O14" s="2">
        <v>-13800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>
        <v>-13800</v>
      </c>
      <c r="AC14" s="18"/>
      <c r="AD14" s="18">
        <v>-10000</v>
      </c>
    </row>
    <row r="15" spans="2:30" outlineLevel="1" x14ac:dyDescent="0.3">
      <c r="B15" s="19" t="s">
        <v>36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18">
        <v>-2850</v>
      </c>
      <c r="AD15" s="18"/>
    </row>
    <row r="16" spans="2:30" outlineLevel="1" x14ac:dyDescent="0.3">
      <c r="B16" s="19" t="s">
        <v>23</v>
      </c>
      <c r="C16" s="2"/>
      <c r="D16" s="2"/>
      <c r="E16" s="2"/>
      <c r="F16" s="2"/>
      <c r="G16" s="2">
        <v>-6327.61</v>
      </c>
      <c r="H16" s="2">
        <v>-31.42</v>
      </c>
      <c r="I16" s="2"/>
      <c r="J16" s="2">
        <v>-37.32</v>
      </c>
      <c r="K16" s="2">
        <v>-7498.28</v>
      </c>
      <c r="L16" s="2">
        <v>-42.57</v>
      </c>
      <c r="M16" s="2"/>
      <c r="N16" s="2">
        <v>-5048.55</v>
      </c>
      <c r="O16" s="2">
        <v>-18985.75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>
        <v>-12000</v>
      </c>
      <c r="AC16" s="18"/>
      <c r="AD16" s="18">
        <v>-18000</v>
      </c>
    </row>
    <row r="17" spans="2:30" outlineLevel="1" x14ac:dyDescent="0.3">
      <c r="B17" s="19" t="str">
        <f t="array" ref="B17">3970&amp;" - "&amp;"Momskompensasjon"</f>
        <v>3970 - Momskompensasjon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v>-2467.2800000000002</v>
      </c>
      <c r="O17" s="2">
        <v>-2467.2800000000002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>
        <v>-2500</v>
      </c>
      <c r="AC17" s="18"/>
      <c r="AD17" s="18">
        <v>-2000</v>
      </c>
    </row>
    <row r="18" spans="2:30" x14ac:dyDescent="0.3">
      <c r="B18" s="28" t="s">
        <v>7</v>
      </c>
      <c r="C18" s="7" t="e">
        <f>C13+C12+C10+#REF!</f>
        <v>#REF!</v>
      </c>
      <c r="D18" s="7" t="e">
        <f>D13+D12+D10+#REF!</f>
        <v>#REF!</v>
      </c>
      <c r="E18" s="7" t="e">
        <f>E13+E12+E10+#REF!</f>
        <v>#REF!</v>
      </c>
      <c r="F18" s="7" t="e">
        <f>F13+F12+F10+#REF!</f>
        <v>#REF!</v>
      </c>
      <c r="G18" s="7" t="e">
        <f>G13+G12+G10+#REF!</f>
        <v>#REF!</v>
      </c>
      <c r="H18" s="7" t="e">
        <f>H13+H12+H10+#REF!</f>
        <v>#REF!</v>
      </c>
      <c r="I18" s="7" t="e">
        <f>I13+I12+I10+#REF!</f>
        <v>#REF!</v>
      </c>
      <c r="J18" s="7" t="e">
        <f>J13+J12+J10+#REF!</f>
        <v>#REF!</v>
      </c>
      <c r="K18" s="7" t="e">
        <f>K13+K12+K10+#REF!</f>
        <v>#REF!</v>
      </c>
      <c r="L18" s="7" t="e">
        <f>L13+L12+L10+#REF!</f>
        <v>#REF!</v>
      </c>
      <c r="M18" s="7" t="e">
        <f>M13+M12+M10+#REF!</f>
        <v>#REF!</v>
      </c>
      <c r="N18" s="7" t="e">
        <f>N13+N12+N10+#REF!</f>
        <v>#REF!</v>
      </c>
      <c r="O18" s="7">
        <f>O13+O12+O10</f>
        <v>-38247.79</v>
      </c>
      <c r="P18" s="7">
        <f t="shared" ref="P18:AD18" si="4">P13+P12+P10</f>
        <v>0</v>
      </c>
      <c r="Q18" s="7">
        <f t="shared" si="4"/>
        <v>0</v>
      </c>
      <c r="R18" s="7">
        <f t="shared" si="4"/>
        <v>0</v>
      </c>
      <c r="S18" s="7">
        <f t="shared" si="4"/>
        <v>0</v>
      </c>
      <c r="T18" s="7">
        <f t="shared" si="4"/>
        <v>0</v>
      </c>
      <c r="U18" s="7">
        <f t="shared" si="4"/>
        <v>0</v>
      </c>
      <c r="V18" s="7">
        <f t="shared" si="4"/>
        <v>0</v>
      </c>
      <c r="W18" s="7">
        <f t="shared" si="4"/>
        <v>0</v>
      </c>
      <c r="X18" s="7">
        <f t="shared" si="4"/>
        <v>0</v>
      </c>
      <c r="Y18" s="7">
        <f t="shared" si="4"/>
        <v>0</v>
      </c>
      <c r="Z18" s="7">
        <f t="shared" si="4"/>
        <v>0</v>
      </c>
      <c r="AA18" s="7">
        <f t="shared" si="4"/>
        <v>0</v>
      </c>
      <c r="AB18" s="7">
        <f t="shared" si="4"/>
        <v>-30300</v>
      </c>
      <c r="AC18" s="7">
        <f t="shared" si="4"/>
        <v>-2850</v>
      </c>
      <c r="AD18" s="7">
        <f t="shared" si="4"/>
        <v>-33000</v>
      </c>
    </row>
    <row r="19" spans="2:30" x14ac:dyDescent="0.3"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22"/>
      <c r="AD19" s="22"/>
    </row>
    <row r="20" spans="2:30" x14ac:dyDescent="0.3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2"/>
      <c r="AD20" s="22"/>
    </row>
    <row r="21" spans="2:30" ht="21" x14ac:dyDescent="0.4">
      <c r="B21" s="21" t="s">
        <v>19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2:30" x14ac:dyDescent="0.3">
      <c r="B22" s="16" t="s">
        <v>2</v>
      </c>
      <c r="C22" s="94">
        <f t="shared" ref="C22:AD22" si="5">SUM(C23)</f>
        <v>0</v>
      </c>
      <c r="D22" s="1">
        <f t="shared" si="5"/>
        <v>0</v>
      </c>
      <c r="E22" s="1">
        <f t="shared" si="5"/>
        <v>0</v>
      </c>
      <c r="F22" s="1">
        <f t="shared" si="5"/>
        <v>0</v>
      </c>
      <c r="G22" s="1">
        <f t="shared" si="5"/>
        <v>0</v>
      </c>
      <c r="H22" s="1">
        <f t="shared" si="5"/>
        <v>0</v>
      </c>
      <c r="I22" s="1">
        <f t="shared" si="5"/>
        <v>0</v>
      </c>
      <c r="J22" s="1">
        <f t="shared" si="5"/>
        <v>0</v>
      </c>
      <c r="K22" s="1">
        <f t="shared" si="5"/>
        <v>0</v>
      </c>
      <c r="L22" s="1">
        <f t="shared" si="5"/>
        <v>0</v>
      </c>
      <c r="M22" s="1">
        <f t="shared" si="5"/>
        <v>0</v>
      </c>
      <c r="N22" s="1">
        <f t="shared" si="5"/>
        <v>0</v>
      </c>
      <c r="O22" s="1">
        <f t="shared" si="5"/>
        <v>6500</v>
      </c>
      <c r="P22" s="1">
        <f t="shared" si="5"/>
        <v>0</v>
      </c>
      <c r="Q22" s="1">
        <f t="shared" si="5"/>
        <v>0</v>
      </c>
      <c r="R22" s="1">
        <f t="shared" si="5"/>
        <v>0</v>
      </c>
      <c r="S22" s="1">
        <f t="shared" si="5"/>
        <v>0</v>
      </c>
      <c r="T22" s="1">
        <f t="shared" si="5"/>
        <v>0</v>
      </c>
      <c r="U22" s="1">
        <f t="shared" si="5"/>
        <v>0</v>
      </c>
      <c r="V22" s="1">
        <f t="shared" si="5"/>
        <v>0</v>
      </c>
      <c r="W22" s="1">
        <f t="shared" si="5"/>
        <v>0</v>
      </c>
      <c r="X22" s="1">
        <f t="shared" si="5"/>
        <v>0</v>
      </c>
      <c r="Y22" s="1">
        <f t="shared" si="5"/>
        <v>0</v>
      </c>
      <c r="Z22" s="1">
        <f t="shared" si="5"/>
        <v>0</v>
      </c>
      <c r="AA22" s="1">
        <f t="shared" si="5"/>
        <v>0</v>
      </c>
      <c r="AB22" s="1">
        <f t="shared" si="5"/>
        <v>0</v>
      </c>
      <c r="AC22" s="1">
        <f t="shared" si="5"/>
        <v>0</v>
      </c>
      <c r="AD22" s="1">
        <f t="shared" si="5"/>
        <v>14500</v>
      </c>
    </row>
    <row r="23" spans="2:30" s="95" customFormat="1" outlineLevel="1" x14ac:dyDescent="0.3">
      <c r="B23" s="19" t="str">
        <f t="array" ref="B23">5014&amp;" - "&amp;"Honorar uten AGA (inkl.feriepenger)"</f>
        <v>5014 - Honorar uten AGA (inkl.feriepenger)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18">
        <v>6500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7"/>
      <c r="AC23" s="97"/>
      <c r="AD23" s="18">
        <v>14500</v>
      </c>
    </row>
    <row r="24" spans="2:30" x14ac:dyDescent="0.3">
      <c r="B24" s="16" t="s">
        <v>8</v>
      </c>
      <c r="C24" s="1">
        <f t="shared" ref="C24:AC24" si="6">SUM(C26)</f>
        <v>0</v>
      </c>
      <c r="D24" s="1">
        <f t="shared" si="6"/>
        <v>104</v>
      </c>
      <c r="E24" s="1">
        <f t="shared" si="6"/>
        <v>0</v>
      </c>
      <c r="F24" s="1">
        <f t="shared" si="6"/>
        <v>0</v>
      </c>
      <c r="G24" s="1">
        <f t="shared" si="6"/>
        <v>0</v>
      </c>
      <c r="H24" s="1">
        <f t="shared" si="6"/>
        <v>0</v>
      </c>
      <c r="I24" s="1">
        <f t="shared" si="6"/>
        <v>0</v>
      </c>
      <c r="J24" s="1">
        <f t="shared" si="6"/>
        <v>0</v>
      </c>
      <c r="K24" s="1">
        <f t="shared" si="6"/>
        <v>0</v>
      </c>
      <c r="L24" s="1">
        <f t="shared" si="6"/>
        <v>0</v>
      </c>
      <c r="M24" s="1">
        <f t="shared" si="6"/>
        <v>0</v>
      </c>
      <c r="N24" s="1">
        <f t="shared" si="6"/>
        <v>0</v>
      </c>
      <c r="O24" s="1">
        <f t="shared" si="6"/>
        <v>104</v>
      </c>
      <c r="P24" s="1">
        <f t="shared" si="6"/>
        <v>0</v>
      </c>
      <c r="Q24" s="1">
        <f t="shared" si="6"/>
        <v>0</v>
      </c>
      <c r="R24" s="1">
        <f t="shared" si="6"/>
        <v>0</v>
      </c>
      <c r="S24" s="1">
        <f t="shared" si="6"/>
        <v>0</v>
      </c>
      <c r="T24" s="1">
        <f t="shared" si="6"/>
        <v>0</v>
      </c>
      <c r="U24" s="1">
        <f t="shared" si="6"/>
        <v>0</v>
      </c>
      <c r="V24" s="1">
        <f t="shared" si="6"/>
        <v>0</v>
      </c>
      <c r="W24" s="1">
        <f t="shared" si="6"/>
        <v>0</v>
      </c>
      <c r="X24" s="1">
        <f t="shared" si="6"/>
        <v>0</v>
      </c>
      <c r="Y24" s="1">
        <f t="shared" si="6"/>
        <v>0</v>
      </c>
      <c r="Z24" s="1">
        <f t="shared" si="6"/>
        <v>0</v>
      </c>
      <c r="AA24" s="1">
        <f t="shared" si="6"/>
        <v>0</v>
      </c>
      <c r="AB24" s="1">
        <f t="shared" si="6"/>
        <v>0</v>
      </c>
      <c r="AC24" s="1">
        <f t="shared" si="6"/>
        <v>0</v>
      </c>
      <c r="AD24" s="1">
        <f>SUM(AD25:AD27)</f>
        <v>15000</v>
      </c>
    </row>
    <row r="25" spans="2:30" x14ac:dyDescent="0.3">
      <c r="B25" s="19" t="str">
        <f t="array" ref="B25">6300&amp;" - "&amp;"Leie lokaler"</f>
        <v>6300 - Leie lokaler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98"/>
      <c r="AD25" s="98">
        <v>5000</v>
      </c>
    </row>
    <row r="26" spans="2:30" outlineLevel="1" x14ac:dyDescent="0.3">
      <c r="B26" s="19" t="str">
        <f t="array" ref="B26">6390&amp;" - "&amp;"Annen kostnad lokaler"</f>
        <v>6390 - Annen kostnad lokaler</v>
      </c>
      <c r="C26" s="2"/>
      <c r="D26" s="2">
        <v>104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104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18"/>
      <c r="AD26" s="18"/>
    </row>
    <row r="27" spans="2:30" outlineLevel="1" x14ac:dyDescent="0.3">
      <c r="B27" s="19" t="str">
        <f t="array" ref="B27">6580&amp;" - "&amp;"Idrettsutstyr"</f>
        <v>6580 - Idrettsutstyr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18"/>
      <c r="AD27" s="18">
        <v>10000</v>
      </c>
    </row>
    <row r="28" spans="2:30" x14ac:dyDescent="0.3">
      <c r="B28" s="25" t="s">
        <v>3</v>
      </c>
      <c r="C28" s="6" t="e">
        <f>#REF!+#REF!+#REF!+#REF!+#REF!+#REF!+C24+C22+#REF!</f>
        <v>#REF!</v>
      </c>
      <c r="D28" s="6" t="e">
        <f>#REF!+#REF!+#REF!+#REF!+#REF!+#REF!+D24+D22+#REF!</f>
        <v>#REF!</v>
      </c>
      <c r="E28" s="6" t="e">
        <f>#REF!+#REF!+#REF!+#REF!+#REF!+#REF!+E24+E22+#REF!</f>
        <v>#REF!</v>
      </c>
      <c r="F28" s="6" t="e">
        <f>#REF!+#REF!+#REF!+#REF!+#REF!+#REF!+F24+F22+#REF!</f>
        <v>#REF!</v>
      </c>
      <c r="G28" s="6" t="e">
        <f>#REF!+#REF!+#REF!+#REF!+#REF!+#REF!+G24+G22+#REF!</f>
        <v>#REF!</v>
      </c>
      <c r="H28" s="6" t="e">
        <f>#REF!+#REF!+#REF!+#REF!+#REF!+#REF!+H24+H22+#REF!</f>
        <v>#REF!</v>
      </c>
      <c r="I28" s="6" t="e">
        <f>#REF!+#REF!+#REF!+#REF!+#REF!+#REF!+I24+I22+#REF!</f>
        <v>#REF!</v>
      </c>
      <c r="J28" s="6" t="e">
        <f>#REF!+#REF!+#REF!+#REF!+#REF!+#REF!+J24+J22+#REF!</f>
        <v>#REF!</v>
      </c>
      <c r="K28" s="6" t="e">
        <f>#REF!+#REF!+#REF!+#REF!+#REF!+#REF!+K24+K22+#REF!</f>
        <v>#REF!</v>
      </c>
      <c r="L28" s="6" t="e">
        <f>#REF!+#REF!+#REF!+#REF!+#REF!+#REF!+L24+L22+#REF!</f>
        <v>#REF!</v>
      </c>
      <c r="M28" s="6" t="e">
        <f>#REF!+#REF!+#REF!+#REF!+#REF!+#REF!+M24+M22+#REF!</f>
        <v>#REF!</v>
      </c>
      <c r="N28" s="6" t="e">
        <f>#REF!+#REF!+#REF!+#REF!+#REF!+#REF!+N24+N22+#REF!</f>
        <v>#REF!</v>
      </c>
      <c r="O28" s="6">
        <f>+O22+O24</f>
        <v>6604</v>
      </c>
      <c r="P28" s="6">
        <f t="shared" ref="P28:AC28" si="7">P24</f>
        <v>0</v>
      </c>
      <c r="Q28" s="6">
        <f t="shared" si="7"/>
        <v>0</v>
      </c>
      <c r="R28" s="6">
        <f t="shared" si="7"/>
        <v>0</v>
      </c>
      <c r="S28" s="6">
        <f t="shared" si="7"/>
        <v>0</v>
      </c>
      <c r="T28" s="6">
        <f t="shared" si="7"/>
        <v>0</v>
      </c>
      <c r="U28" s="6">
        <f t="shared" si="7"/>
        <v>0</v>
      </c>
      <c r="V28" s="6">
        <f t="shared" si="7"/>
        <v>0</v>
      </c>
      <c r="W28" s="6">
        <f t="shared" si="7"/>
        <v>0</v>
      </c>
      <c r="X28" s="6">
        <f t="shared" si="7"/>
        <v>0</v>
      </c>
      <c r="Y28" s="6">
        <f t="shared" si="7"/>
        <v>0</v>
      </c>
      <c r="Z28" s="6">
        <f t="shared" si="7"/>
        <v>0</v>
      </c>
      <c r="AA28" s="6">
        <f t="shared" si="7"/>
        <v>0</v>
      </c>
      <c r="AB28" s="6">
        <f t="shared" si="7"/>
        <v>0</v>
      </c>
      <c r="AC28" s="6">
        <f t="shared" si="7"/>
        <v>0</v>
      </c>
      <c r="AD28" s="6">
        <f>AD22+AD24</f>
        <v>29500</v>
      </c>
    </row>
    <row r="29" spans="2:30" x14ac:dyDescent="0.3"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22"/>
      <c r="AD29" s="22"/>
    </row>
    <row r="30" spans="2:30" x14ac:dyDescent="0.3"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22"/>
      <c r="AD30" s="22"/>
    </row>
    <row r="31" spans="2:30" x14ac:dyDescent="0.3"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22"/>
      <c r="AD31" s="22"/>
    </row>
    <row r="32" spans="2:30" x14ac:dyDescent="0.3">
      <c r="B32" s="16" t="s">
        <v>20</v>
      </c>
      <c r="C32" s="1">
        <f t="shared" ref="C32:AD32" si="8">SUM(0)</f>
        <v>0</v>
      </c>
      <c r="D32" s="1">
        <f t="shared" si="8"/>
        <v>0</v>
      </c>
      <c r="E32" s="1">
        <f t="shared" si="8"/>
        <v>0</v>
      </c>
      <c r="F32" s="1">
        <f t="shared" si="8"/>
        <v>0</v>
      </c>
      <c r="G32" s="1">
        <f t="shared" si="8"/>
        <v>0</v>
      </c>
      <c r="H32" s="1">
        <f t="shared" si="8"/>
        <v>0</v>
      </c>
      <c r="I32" s="1">
        <f t="shared" si="8"/>
        <v>0</v>
      </c>
      <c r="J32" s="1">
        <f t="shared" si="8"/>
        <v>0</v>
      </c>
      <c r="K32" s="1">
        <f t="shared" si="8"/>
        <v>0</v>
      </c>
      <c r="L32" s="1">
        <f t="shared" si="8"/>
        <v>0</v>
      </c>
      <c r="M32" s="1">
        <f t="shared" si="8"/>
        <v>0</v>
      </c>
      <c r="N32" s="1">
        <f t="shared" si="8"/>
        <v>0</v>
      </c>
      <c r="O32" s="1">
        <f t="shared" si="8"/>
        <v>0</v>
      </c>
      <c r="P32" s="1">
        <f t="shared" si="8"/>
        <v>0</v>
      </c>
      <c r="Q32" s="1">
        <f t="shared" si="8"/>
        <v>0</v>
      </c>
      <c r="R32" s="1">
        <f t="shared" si="8"/>
        <v>0</v>
      </c>
      <c r="S32" s="1">
        <f t="shared" si="8"/>
        <v>0</v>
      </c>
      <c r="T32" s="1">
        <f t="shared" si="8"/>
        <v>0</v>
      </c>
      <c r="U32" s="1">
        <f t="shared" si="8"/>
        <v>0</v>
      </c>
      <c r="V32" s="1">
        <f t="shared" si="8"/>
        <v>0</v>
      </c>
      <c r="W32" s="1">
        <f t="shared" si="8"/>
        <v>0</v>
      </c>
      <c r="X32" s="1">
        <f t="shared" si="8"/>
        <v>0</v>
      </c>
      <c r="Y32" s="1">
        <f t="shared" si="8"/>
        <v>0</v>
      </c>
      <c r="Z32" s="1">
        <f t="shared" si="8"/>
        <v>0</v>
      </c>
      <c r="AA32" s="1">
        <f t="shared" si="8"/>
        <v>0</v>
      </c>
      <c r="AB32" s="1">
        <f t="shared" si="8"/>
        <v>0</v>
      </c>
      <c r="AC32" s="1">
        <f t="shared" si="8"/>
        <v>0</v>
      </c>
      <c r="AD32" s="1">
        <f t="shared" si="8"/>
        <v>0</v>
      </c>
    </row>
    <row r="33" spans="2:30" ht="16.2" thickBot="1" x14ac:dyDescent="0.35">
      <c r="B33" s="31" t="s">
        <v>121</v>
      </c>
      <c r="C33" s="5" t="e">
        <f t="shared" ref="C33:N33" si="9">C32+C28+C18</f>
        <v>#REF!</v>
      </c>
      <c r="D33" s="5" t="e">
        <f t="shared" si="9"/>
        <v>#REF!</v>
      </c>
      <c r="E33" s="5" t="e">
        <f t="shared" si="9"/>
        <v>#REF!</v>
      </c>
      <c r="F33" s="5" t="e">
        <f t="shared" si="9"/>
        <v>#REF!</v>
      </c>
      <c r="G33" s="5" t="e">
        <f t="shared" si="9"/>
        <v>#REF!</v>
      </c>
      <c r="H33" s="5" t="e">
        <f t="shared" si="9"/>
        <v>#REF!</v>
      </c>
      <c r="I33" s="5" t="e">
        <f t="shared" si="9"/>
        <v>#REF!</v>
      </c>
      <c r="J33" s="5" t="e">
        <f t="shared" si="9"/>
        <v>#REF!</v>
      </c>
      <c r="K33" s="5" t="e">
        <f t="shared" si="9"/>
        <v>#REF!</v>
      </c>
      <c r="L33" s="5" t="e">
        <f t="shared" si="9"/>
        <v>#REF!</v>
      </c>
      <c r="M33" s="5" t="e">
        <f t="shared" si="9"/>
        <v>#REF!</v>
      </c>
      <c r="N33" s="5" t="e">
        <f t="shared" si="9"/>
        <v>#REF!</v>
      </c>
      <c r="O33" s="5">
        <f>O18+O22+O24</f>
        <v>-31643.79</v>
      </c>
      <c r="P33" s="5">
        <f t="shared" ref="P33:AD33" si="10">P32+P28+P18</f>
        <v>0</v>
      </c>
      <c r="Q33" s="5">
        <f t="shared" si="10"/>
        <v>0</v>
      </c>
      <c r="R33" s="5">
        <f t="shared" si="10"/>
        <v>0</v>
      </c>
      <c r="S33" s="5">
        <f t="shared" si="10"/>
        <v>0</v>
      </c>
      <c r="T33" s="5">
        <f t="shared" si="10"/>
        <v>0</v>
      </c>
      <c r="U33" s="5">
        <f t="shared" si="10"/>
        <v>0</v>
      </c>
      <c r="V33" s="5">
        <f t="shared" si="10"/>
        <v>0</v>
      </c>
      <c r="W33" s="5">
        <f t="shared" si="10"/>
        <v>0</v>
      </c>
      <c r="X33" s="5">
        <f t="shared" si="10"/>
        <v>0</v>
      </c>
      <c r="Y33" s="5">
        <f t="shared" si="10"/>
        <v>0</v>
      </c>
      <c r="Z33" s="5">
        <f t="shared" si="10"/>
        <v>0</v>
      </c>
      <c r="AA33" s="5">
        <f t="shared" si="10"/>
        <v>0</v>
      </c>
      <c r="AB33" s="5">
        <f t="shared" si="10"/>
        <v>-30300</v>
      </c>
      <c r="AC33" s="5">
        <f t="shared" si="10"/>
        <v>-2850</v>
      </c>
      <c r="AD33" s="5">
        <f t="shared" si="10"/>
        <v>-3500</v>
      </c>
    </row>
    <row r="34" spans="2:30" ht="15" thickTop="1" x14ac:dyDescent="0.3"/>
  </sheetData>
  <sheetProtection algorithmName="SHA-512" hashValue="YNfeQWfR2r3hnqTl3n1Holx0gbg9Ww2HHRmlMGkL9QOD7GIPHCTsqzMqg3X7FaikOGfDSHZBuX0rfwshkendrQ==" saltValue="fLMS62p2DGUl6ncFjUdha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8"/>
  <sheetViews>
    <sheetView zoomScaleNormal="100" workbookViewId="0">
      <selection activeCell="B2" sqref="B2"/>
    </sheetView>
  </sheetViews>
  <sheetFormatPr baseColWidth="10" defaultColWidth="9.109375" defaultRowHeight="14.4" outlineLevelRow="1" outlineLevelCol="1" x14ac:dyDescent="0.3"/>
  <cols>
    <col min="1" max="1" width="6.6640625" customWidth="1"/>
    <col min="2" max="2" width="36" customWidth="1"/>
    <col min="3" max="14" width="10.109375" hidden="1" customWidth="1" outlineLevel="1"/>
    <col min="15" max="15" width="11" customWidth="1" collapsed="1"/>
    <col min="16" max="27" width="11" hidden="1" customWidth="1" outlineLevel="1"/>
    <col min="28" max="28" width="11" customWidth="1" collapsed="1"/>
    <col min="29" max="30" width="11" customWidth="1"/>
  </cols>
  <sheetData>
    <row r="1" spans="2:30" ht="25.8" x14ac:dyDescent="0.5">
      <c r="B1" s="24" t="s">
        <v>117</v>
      </c>
    </row>
    <row r="6" spans="2:30" ht="15.6" x14ac:dyDescent="0.3">
      <c r="B6" s="2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14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 t="s">
        <v>13</v>
      </c>
      <c r="AC6" s="9" t="s">
        <v>14</v>
      </c>
      <c r="AD6" s="9" t="s">
        <v>13</v>
      </c>
    </row>
    <row r="7" spans="2:30" ht="15.6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20" t="s">
        <v>4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20" t="s">
        <v>11</v>
      </c>
      <c r="AC7" s="20" t="s">
        <v>1</v>
      </c>
      <c r="AD7" s="20" t="s">
        <v>11</v>
      </c>
    </row>
    <row r="8" spans="2:30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v>2020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2020</v>
      </c>
      <c r="AC8" s="4">
        <v>2019</v>
      </c>
      <c r="AD8" s="4">
        <v>2021</v>
      </c>
    </row>
    <row r="9" spans="2:30" ht="21" x14ac:dyDescent="0.4">
      <c r="B9" s="21" t="s">
        <v>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2:30" x14ac:dyDescent="0.3">
      <c r="B10" s="16" t="s">
        <v>5</v>
      </c>
      <c r="C10" s="1">
        <f t="shared" ref="C10:AD10" si="0">SUM(C11)</f>
        <v>0</v>
      </c>
      <c r="D10" s="1">
        <f t="shared" si="0"/>
        <v>0</v>
      </c>
      <c r="E10" s="1">
        <f t="shared" si="0"/>
        <v>0</v>
      </c>
      <c r="F10" s="1">
        <f t="shared" si="0"/>
        <v>-68000</v>
      </c>
      <c r="G10" s="1">
        <f t="shared" si="0"/>
        <v>0</v>
      </c>
      <c r="H10" s="1">
        <f t="shared" si="0"/>
        <v>0</v>
      </c>
      <c r="I10" s="1">
        <f t="shared" si="0"/>
        <v>0</v>
      </c>
      <c r="J10" s="1">
        <f t="shared" si="0"/>
        <v>0</v>
      </c>
      <c r="K10" s="1">
        <f t="shared" si="0"/>
        <v>0</v>
      </c>
      <c r="L10" s="1">
        <f t="shared" si="0"/>
        <v>0</v>
      </c>
      <c r="M10" s="1">
        <f t="shared" si="0"/>
        <v>-68000</v>
      </c>
      <c r="N10" s="1">
        <f t="shared" si="0"/>
        <v>90000</v>
      </c>
      <c r="O10" s="1">
        <f t="shared" si="0"/>
        <v>-46000</v>
      </c>
      <c r="P10" s="1">
        <f t="shared" si="0"/>
        <v>0</v>
      </c>
      <c r="Q10" s="1">
        <f t="shared" si="0"/>
        <v>0</v>
      </c>
      <c r="R10" s="1">
        <f t="shared" si="0"/>
        <v>0</v>
      </c>
      <c r="S10" s="1">
        <f t="shared" si="0"/>
        <v>0</v>
      </c>
      <c r="T10" s="1">
        <f t="shared" si="0"/>
        <v>0</v>
      </c>
      <c r="U10" s="1">
        <f t="shared" si="0"/>
        <v>0</v>
      </c>
      <c r="V10" s="1">
        <f t="shared" si="0"/>
        <v>0</v>
      </c>
      <c r="W10" s="1">
        <f t="shared" si="0"/>
        <v>0</v>
      </c>
      <c r="X10" s="1">
        <f t="shared" si="0"/>
        <v>0</v>
      </c>
      <c r="Y10" s="1">
        <f t="shared" si="0"/>
        <v>0</v>
      </c>
      <c r="Z10" s="1">
        <f t="shared" si="0"/>
        <v>0</v>
      </c>
      <c r="AA10" s="1">
        <f t="shared" si="0"/>
        <v>0</v>
      </c>
      <c r="AB10" s="1">
        <f t="shared" si="0"/>
        <v>-130000</v>
      </c>
      <c r="AC10" s="1">
        <f t="shared" si="0"/>
        <v>-130390</v>
      </c>
      <c r="AD10" s="1">
        <f t="shared" si="0"/>
        <v>-46000</v>
      </c>
    </row>
    <row r="11" spans="2:30" outlineLevel="1" x14ac:dyDescent="0.3">
      <c r="B11" s="19" t="str">
        <f t="array" ref="B11">3400&amp;" - "&amp;"Tilskudd"</f>
        <v>3400 - Tilskudd</v>
      </c>
      <c r="C11" s="2"/>
      <c r="D11" s="2"/>
      <c r="E11" s="2"/>
      <c r="F11" s="2">
        <v>-68000</v>
      </c>
      <c r="G11" s="2"/>
      <c r="H11" s="2"/>
      <c r="I11" s="2"/>
      <c r="J11" s="2"/>
      <c r="K11" s="2"/>
      <c r="L11" s="2"/>
      <c r="M11" s="2">
        <v>-68000</v>
      </c>
      <c r="N11" s="2">
        <v>90000</v>
      </c>
      <c r="O11" s="2">
        <v>-46000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>
        <v>-130000</v>
      </c>
      <c r="AC11" s="18">
        <v>-130390</v>
      </c>
      <c r="AD11" s="18">
        <v>-46000</v>
      </c>
    </row>
    <row r="12" spans="2:30" x14ac:dyDescent="0.3">
      <c r="B12" s="16" t="s">
        <v>6</v>
      </c>
      <c r="C12" s="1">
        <f t="shared" ref="C12:AD12" si="1">SUM(C13)</f>
        <v>0</v>
      </c>
      <c r="D12" s="1">
        <f t="shared" si="1"/>
        <v>0</v>
      </c>
      <c r="E12" s="1">
        <f t="shared" si="1"/>
        <v>0</v>
      </c>
      <c r="F12" s="1">
        <f t="shared" si="1"/>
        <v>0</v>
      </c>
      <c r="G12" s="1">
        <f t="shared" si="1"/>
        <v>0</v>
      </c>
      <c r="H12" s="1">
        <f t="shared" si="1"/>
        <v>0</v>
      </c>
      <c r="I12" s="1">
        <f t="shared" si="1"/>
        <v>-2400</v>
      </c>
      <c r="J12" s="1">
        <f t="shared" si="1"/>
        <v>0</v>
      </c>
      <c r="K12" s="1">
        <f t="shared" si="1"/>
        <v>0</v>
      </c>
      <c r="L12" s="1">
        <f t="shared" si="1"/>
        <v>0</v>
      </c>
      <c r="M12" s="1">
        <f t="shared" si="1"/>
        <v>0</v>
      </c>
      <c r="N12" s="1">
        <f t="shared" si="1"/>
        <v>0</v>
      </c>
      <c r="O12" s="1">
        <f t="shared" si="1"/>
        <v>-2400</v>
      </c>
      <c r="P12" s="1">
        <f t="shared" si="1"/>
        <v>0</v>
      </c>
      <c r="Q12" s="1">
        <f t="shared" si="1"/>
        <v>0</v>
      </c>
      <c r="R12" s="1">
        <f t="shared" si="1"/>
        <v>0</v>
      </c>
      <c r="S12" s="1">
        <f t="shared" si="1"/>
        <v>0</v>
      </c>
      <c r="T12" s="1">
        <f t="shared" si="1"/>
        <v>0</v>
      </c>
      <c r="U12" s="1">
        <f t="shared" si="1"/>
        <v>0</v>
      </c>
      <c r="V12" s="1">
        <f t="shared" si="1"/>
        <v>0</v>
      </c>
      <c r="W12" s="1">
        <f t="shared" si="1"/>
        <v>0</v>
      </c>
      <c r="X12" s="1">
        <f t="shared" si="1"/>
        <v>0</v>
      </c>
      <c r="Y12" s="1">
        <f t="shared" si="1"/>
        <v>0</v>
      </c>
      <c r="Z12" s="1">
        <f t="shared" si="1"/>
        <v>0</v>
      </c>
      <c r="AA12" s="1">
        <f t="shared" si="1"/>
        <v>0</v>
      </c>
      <c r="AB12" s="1">
        <f t="shared" si="1"/>
        <v>-35000</v>
      </c>
      <c r="AC12" s="1">
        <f t="shared" si="1"/>
        <v>-24263</v>
      </c>
      <c r="AD12" s="1">
        <f t="shared" si="1"/>
        <v>0</v>
      </c>
    </row>
    <row r="13" spans="2:30" outlineLevel="1" x14ac:dyDescent="0.3">
      <c r="B13" s="19" t="str">
        <f t="array" ref="B13">3600&amp;" - "&amp;"Leieinntekter"</f>
        <v>3600 - Leieinntekter</v>
      </c>
      <c r="C13" s="2"/>
      <c r="D13" s="2"/>
      <c r="E13" s="2"/>
      <c r="F13" s="2"/>
      <c r="G13" s="2"/>
      <c r="H13" s="2"/>
      <c r="I13" s="2">
        <v>-2400</v>
      </c>
      <c r="J13" s="2"/>
      <c r="K13" s="2"/>
      <c r="L13" s="2"/>
      <c r="M13" s="2"/>
      <c r="N13" s="2"/>
      <c r="O13" s="2">
        <v>-2400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-35000</v>
      </c>
      <c r="AC13" s="18">
        <v>-24263</v>
      </c>
      <c r="AD13" s="18">
        <v>0</v>
      </c>
    </row>
    <row r="14" spans="2:30" x14ac:dyDescent="0.3">
      <c r="B14" s="16" t="s">
        <v>10</v>
      </c>
      <c r="C14" s="1">
        <f t="shared" ref="C14:AD14" si="2">SUM(C15)</f>
        <v>0</v>
      </c>
      <c r="D14" s="1">
        <f t="shared" si="2"/>
        <v>0</v>
      </c>
      <c r="E14" s="1">
        <f t="shared" si="2"/>
        <v>0</v>
      </c>
      <c r="F14" s="1">
        <f t="shared" si="2"/>
        <v>0</v>
      </c>
      <c r="G14" s="1">
        <f t="shared" si="2"/>
        <v>0</v>
      </c>
      <c r="H14" s="1">
        <f t="shared" si="2"/>
        <v>0</v>
      </c>
      <c r="I14" s="1">
        <f t="shared" si="2"/>
        <v>0</v>
      </c>
      <c r="J14" s="1">
        <f t="shared" si="2"/>
        <v>0</v>
      </c>
      <c r="K14" s="1">
        <f t="shared" si="2"/>
        <v>0</v>
      </c>
      <c r="L14" s="1">
        <f t="shared" si="2"/>
        <v>0</v>
      </c>
      <c r="M14" s="1">
        <f t="shared" si="2"/>
        <v>0</v>
      </c>
      <c r="N14" s="1">
        <f t="shared" si="2"/>
        <v>-9261.51</v>
      </c>
      <c r="O14" s="1">
        <f t="shared" si="2"/>
        <v>-9261.51</v>
      </c>
      <c r="P14" s="1">
        <f t="shared" si="2"/>
        <v>0</v>
      </c>
      <c r="Q14" s="1">
        <f t="shared" si="2"/>
        <v>0</v>
      </c>
      <c r="R14" s="1">
        <f t="shared" si="2"/>
        <v>0</v>
      </c>
      <c r="S14" s="1">
        <f t="shared" si="2"/>
        <v>0</v>
      </c>
      <c r="T14" s="1">
        <f t="shared" si="2"/>
        <v>0</v>
      </c>
      <c r="U14" s="1">
        <f t="shared" si="2"/>
        <v>0</v>
      </c>
      <c r="V14" s="1">
        <f t="shared" si="2"/>
        <v>0</v>
      </c>
      <c r="W14" s="1">
        <f t="shared" si="2"/>
        <v>0</v>
      </c>
      <c r="X14" s="1">
        <f t="shared" si="2"/>
        <v>0</v>
      </c>
      <c r="Y14" s="1">
        <f t="shared" si="2"/>
        <v>0</v>
      </c>
      <c r="Z14" s="1">
        <f t="shared" si="2"/>
        <v>0</v>
      </c>
      <c r="AA14" s="1">
        <f t="shared" si="2"/>
        <v>0</v>
      </c>
      <c r="AB14" s="1">
        <f t="shared" si="2"/>
        <v>-7000</v>
      </c>
      <c r="AC14" s="1">
        <f t="shared" si="2"/>
        <v>-14219</v>
      </c>
      <c r="AD14" s="1">
        <f t="shared" si="2"/>
        <v>-7000</v>
      </c>
    </row>
    <row r="15" spans="2:30" outlineLevel="1" x14ac:dyDescent="0.3">
      <c r="B15" s="19" t="str">
        <f t="array" ref="B15">3970&amp;" - "&amp;"Momskompensasjon"</f>
        <v>3970 - Momskompensasjon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>
        <v>-9261.51</v>
      </c>
      <c r="O15" s="2">
        <v>-9261.51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>
        <v>-7000</v>
      </c>
      <c r="AC15" s="18">
        <v>-14219</v>
      </c>
      <c r="AD15" s="18">
        <v>-7000</v>
      </c>
    </row>
    <row r="16" spans="2:30" x14ac:dyDescent="0.3">
      <c r="B16" s="28" t="s">
        <v>7</v>
      </c>
      <c r="C16" s="7" t="e">
        <f>C14+C12+C10+#REF!</f>
        <v>#REF!</v>
      </c>
      <c r="D16" s="7" t="e">
        <f>D14+D12+D10+#REF!</f>
        <v>#REF!</v>
      </c>
      <c r="E16" s="7" t="e">
        <f>E14+E12+E10+#REF!</f>
        <v>#REF!</v>
      </c>
      <c r="F16" s="7" t="e">
        <f>F14+F12+F10+#REF!</f>
        <v>#REF!</v>
      </c>
      <c r="G16" s="7" t="e">
        <f>G14+G12+G10+#REF!</f>
        <v>#REF!</v>
      </c>
      <c r="H16" s="7" t="e">
        <f>H14+H12+H10+#REF!</f>
        <v>#REF!</v>
      </c>
      <c r="I16" s="7" t="e">
        <f>I14+I12+I10+#REF!</f>
        <v>#REF!</v>
      </c>
      <c r="J16" s="7" t="e">
        <f>J14+J12+J10+#REF!</f>
        <v>#REF!</v>
      </c>
      <c r="K16" s="7" t="e">
        <f>K14+K12+K10+#REF!</f>
        <v>#REF!</v>
      </c>
      <c r="L16" s="7" t="e">
        <f>L14+L12+L10+#REF!</f>
        <v>#REF!</v>
      </c>
      <c r="M16" s="7" t="e">
        <f>M14+M12+M10+#REF!</f>
        <v>#REF!</v>
      </c>
      <c r="N16" s="7" t="e">
        <f>N14+N12+N10+#REF!</f>
        <v>#REF!</v>
      </c>
      <c r="O16" s="7">
        <f>O14+O12+O10</f>
        <v>-57661.51</v>
      </c>
      <c r="P16" s="7">
        <f t="shared" ref="P16:AD16" si="3">P14+P12+P10</f>
        <v>0</v>
      </c>
      <c r="Q16" s="7">
        <f t="shared" si="3"/>
        <v>0</v>
      </c>
      <c r="R16" s="7">
        <f t="shared" si="3"/>
        <v>0</v>
      </c>
      <c r="S16" s="7">
        <f t="shared" si="3"/>
        <v>0</v>
      </c>
      <c r="T16" s="7">
        <f t="shared" si="3"/>
        <v>0</v>
      </c>
      <c r="U16" s="7">
        <f t="shared" si="3"/>
        <v>0</v>
      </c>
      <c r="V16" s="7">
        <f t="shared" si="3"/>
        <v>0</v>
      </c>
      <c r="W16" s="7">
        <f t="shared" si="3"/>
        <v>0</v>
      </c>
      <c r="X16" s="7">
        <f t="shared" si="3"/>
        <v>0</v>
      </c>
      <c r="Y16" s="7">
        <f t="shared" si="3"/>
        <v>0</v>
      </c>
      <c r="Z16" s="7">
        <f t="shared" si="3"/>
        <v>0</v>
      </c>
      <c r="AA16" s="7">
        <f t="shared" si="3"/>
        <v>0</v>
      </c>
      <c r="AB16" s="7">
        <f t="shared" si="3"/>
        <v>-172000</v>
      </c>
      <c r="AC16" s="7">
        <f t="shared" si="3"/>
        <v>-168872</v>
      </c>
      <c r="AD16" s="7">
        <f t="shared" si="3"/>
        <v>-53000</v>
      </c>
    </row>
    <row r="17" spans="1:30" x14ac:dyDescent="0.3"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22"/>
      <c r="AD17" s="22"/>
    </row>
    <row r="18" spans="1:30" x14ac:dyDescent="0.3"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22"/>
      <c r="AD18" s="22"/>
    </row>
    <row r="19" spans="1:30" ht="21" x14ac:dyDescent="0.4">
      <c r="B19" s="21" t="s">
        <v>19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x14ac:dyDescent="0.3">
      <c r="B20" s="16" t="s">
        <v>2</v>
      </c>
      <c r="C20" s="1">
        <f t="shared" ref="C20:AD20" si="4">SUM(C21)</f>
        <v>854</v>
      </c>
      <c r="D20" s="1">
        <f t="shared" si="4"/>
        <v>0</v>
      </c>
      <c r="E20" s="1">
        <f t="shared" si="4"/>
        <v>0</v>
      </c>
      <c r="F20" s="1">
        <f t="shared" si="4"/>
        <v>0</v>
      </c>
      <c r="G20" s="1">
        <f t="shared" si="4"/>
        <v>7500</v>
      </c>
      <c r="H20" s="1">
        <f t="shared" si="4"/>
        <v>0</v>
      </c>
      <c r="I20" s="1">
        <f t="shared" si="4"/>
        <v>0</v>
      </c>
      <c r="J20" s="1">
        <f t="shared" si="4"/>
        <v>0</v>
      </c>
      <c r="K20" s="1">
        <f t="shared" si="4"/>
        <v>0</v>
      </c>
      <c r="L20" s="1">
        <f t="shared" si="4"/>
        <v>0</v>
      </c>
      <c r="M20" s="1">
        <f t="shared" si="4"/>
        <v>0</v>
      </c>
      <c r="N20" s="1">
        <f t="shared" si="4"/>
        <v>0</v>
      </c>
      <c r="O20" s="1">
        <f t="shared" si="4"/>
        <v>8354</v>
      </c>
      <c r="P20" s="1">
        <f t="shared" si="4"/>
        <v>0</v>
      </c>
      <c r="Q20" s="1">
        <f t="shared" si="4"/>
        <v>0</v>
      </c>
      <c r="R20" s="1">
        <f t="shared" si="4"/>
        <v>0</v>
      </c>
      <c r="S20" s="1">
        <f t="shared" si="4"/>
        <v>0</v>
      </c>
      <c r="T20" s="1">
        <f t="shared" si="4"/>
        <v>0</v>
      </c>
      <c r="U20" s="1">
        <f t="shared" si="4"/>
        <v>0</v>
      </c>
      <c r="V20" s="1">
        <f t="shared" si="4"/>
        <v>0</v>
      </c>
      <c r="W20" s="1">
        <f t="shared" si="4"/>
        <v>0</v>
      </c>
      <c r="X20" s="1">
        <f t="shared" si="4"/>
        <v>0</v>
      </c>
      <c r="Y20" s="1">
        <f t="shared" si="4"/>
        <v>0</v>
      </c>
      <c r="Z20" s="1">
        <f t="shared" si="4"/>
        <v>0</v>
      </c>
      <c r="AA20" s="1">
        <f t="shared" si="4"/>
        <v>0</v>
      </c>
      <c r="AB20" s="1">
        <f t="shared" si="4"/>
        <v>8500</v>
      </c>
      <c r="AC20" s="1">
        <f t="shared" si="4"/>
        <v>0</v>
      </c>
      <c r="AD20" s="1">
        <f t="shared" si="4"/>
        <v>5000</v>
      </c>
    </row>
    <row r="21" spans="1:30" outlineLevel="1" x14ac:dyDescent="0.3">
      <c r="B21" s="19" t="str">
        <f t="array" ref="B21">5014&amp;" - "&amp;"Honorar uten AGA (inkl.feriepenger)"</f>
        <v>5014 - Honorar uten AGA (inkl.feriepenger)</v>
      </c>
      <c r="C21" s="2">
        <v>854</v>
      </c>
      <c r="D21" s="2"/>
      <c r="E21" s="2"/>
      <c r="F21" s="2"/>
      <c r="G21" s="2">
        <v>7500</v>
      </c>
      <c r="H21" s="2"/>
      <c r="I21" s="2"/>
      <c r="J21" s="2"/>
      <c r="K21" s="2"/>
      <c r="L21" s="2"/>
      <c r="M21" s="2"/>
      <c r="N21" s="2"/>
      <c r="O21" s="2">
        <v>8354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>
        <v>8500</v>
      </c>
      <c r="AC21" s="18"/>
      <c r="AD21" s="18">
        <v>5000</v>
      </c>
    </row>
    <row r="22" spans="1:30" x14ac:dyDescent="0.3">
      <c r="B22" s="16" t="s">
        <v>8</v>
      </c>
      <c r="C22" s="1">
        <f t="shared" ref="C22:AA22" si="5">SUM(C23:C24)</f>
        <v>0</v>
      </c>
      <c r="D22" s="1">
        <f t="shared" si="5"/>
        <v>0</v>
      </c>
      <c r="E22" s="1">
        <f t="shared" si="5"/>
        <v>0</v>
      </c>
      <c r="F22" s="1">
        <f t="shared" si="5"/>
        <v>0</v>
      </c>
      <c r="G22" s="1">
        <f t="shared" si="5"/>
        <v>0</v>
      </c>
      <c r="H22" s="1">
        <f t="shared" si="5"/>
        <v>0</v>
      </c>
      <c r="I22" s="1">
        <f t="shared" si="5"/>
        <v>0</v>
      </c>
      <c r="J22" s="1">
        <f t="shared" si="5"/>
        <v>0</v>
      </c>
      <c r="K22" s="1">
        <f t="shared" si="5"/>
        <v>4163</v>
      </c>
      <c r="L22" s="1">
        <f t="shared" si="5"/>
        <v>6935</v>
      </c>
      <c r="M22" s="1">
        <f t="shared" si="5"/>
        <v>0</v>
      </c>
      <c r="N22" s="1">
        <f t="shared" si="5"/>
        <v>0</v>
      </c>
      <c r="O22" s="1">
        <f t="shared" si="5"/>
        <v>11098</v>
      </c>
      <c r="P22" s="1">
        <f t="shared" si="5"/>
        <v>0</v>
      </c>
      <c r="Q22" s="1">
        <f t="shared" si="5"/>
        <v>0</v>
      </c>
      <c r="R22" s="1">
        <f t="shared" si="5"/>
        <v>0</v>
      </c>
      <c r="S22" s="1">
        <f t="shared" si="5"/>
        <v>0</v>
      </c>
      <c r="T22" s="1">
        <f t="shared" si="5"/>
        <v>0</v>
      </c>
      <c r="U22" s="1">
        <f t="shared" si="5"/>
        <v>0</v>
      </c>
      <c r="V22" s="1">
        <f t="shared" si="5"/>
        <v>0</v>
      </c>
      <c r="W22" s="1">
        <f t="shared" si="5"/>
        <v>0</v>
      </c>
      <c r="X22" s="1">
        <f t="shared" si="5"/>
        <v>0</v>
      </c>
      <c r="Y22" s="1">
        <f t="shared" si="5"/>
        <v>0</v>
      </c>
      <c r="Z22" s="1">
        <f t="shared" si="5"/>
        <v>0</v>
      </c>
      <c r="AA22" s="1">
        <f t="shared" si="5"/>
        <v>0</v>
      </c>
      <c r="AB22" s="15">
        <f t="shared" ref="AB22" si="6">AB23+AB24+AB25+AB26+AB27</f>
        <v>147500</v>
      </c>
      <c r="AC22" s="15">
        <f>AC23+AC24+AC25+AC26+AC27</f>
        <v>142646</v>
      </c>
      <c r="AD22" s="15">
        <f>AD23+AD24+AD25+AD26+AD27</f>
        <v>22500</v>
      </c>
    </row>
    <row r="23" spans="1:30" outlineLevel="1" x14ac:dyDescent="0.3">
      <c r="B23" s="19" t="str">
        <f t="array" ref="B23">6360&amp;" - "&amp;"Renhold"</f>
        <v>6360 - Renhold</v>
      </c>
      <c r="C23" s="2"/>
      <c r="D23" s="2"/>
      <c r="E23" s="2"/>
      <c r="F23" s="2"/>
      <c r="G23" s="2"/>
      <c r="H23" s="2"/>
      <c r="I23" s="2"/>
      <c r="J23" s="2"/>
      <c r="K23" s="2">
        <v>1755</v>
      </c>
      <c r="L23" s="2">
        <v>6935</v>
      </c>
      <c r="M23" s="2"/>
      <c r="N23" s="2"/>
      <c r="O23" s="2">
        <v>8690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18"/>
      <c r="AD23" s="18">
        <v>10000</v>
      </c>
    </row>
    <row r="24" spans="1:30" outlineLevel="1" x14ac:dyDescent="0.3">
      <c r="B24" s="19" t="str">
        <f t="array" ref="B24">6590&amp;" - "&amp;"Annet driftsmateriale"</f>
        <v>6590 - Annet driftsmateriale</v>
      </c>
      <c r="C24" s="2"/>
      <c r="D24" s="2"/>
      <c r="E24" s="2"/>
      <c r="F24" s="2"/>
      <c r="G24" s="2"/>
      <c r="H24" s="2"/>
      <c r="I24" s="2"/>
      <c r="J24" s="2"/>
      <c r="K24" s="2">
        <v>2408</v>
      </c>
      <c r="L24" s="2"/>
      <c r="M24" s="2"/>
      <c r="N24" s="2"/>
      <c r="O24" s="2">
        <v>2408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>
        <v>1500</v>
      </c>
      <c r="AC24" s="18"/>
      <c r="AD24" s="18">
        <v>2500</v>
      </c>
    </row>
    <row r="25" spans="1:30" outlineLevel="1" x14ac:dyDescent="0.3">
      <c r="B25" s="19" t="str">
        <f t="array" ref="B25">6580&amp;" - "&amp;"Idrettsutstyr"</f>
        <v>6580 - Idrettsutstyr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>
        <v>3000</v>
      </c>
      <c r="AC25" s="18">
        <v>1440</v>
      </c>
      <c r="AD25" s="18">
        <v>5000</v>
      </c>
    </row>
    <row r="26" spans="1:30" outlineLevel="1" x14ac:dyDescent="0.3">
      <c r="B26" s="19" t="str">
        <f t="array" ref="B26">6552&amp;" - "&amp;"Datautstyr (Programvare)"</f>
        <v>6552 - Datautstyr (Programvare)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>
        <v>3000</v>
      </c>
      <c r="AC26" s="18">
        <v>2993</v>
      </c>
      <c r="AD26" s="18">
        <v>5000</v>
      </c>
    </row>
    <row r="27" spans="1:30" outlineLevel="1" x14ac:dyDescent="0.3">
      <c r="A27" t="s">
        <v>107</v>
      </c>
      <c r="B27" s="19" t="s">
        <v>46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140000</v>
      </c>
      <c r="AC27" s="18">
        <v>138213</v>
      </c>
      <c r="AD27" s="18"/>
    </row>
    <row r="28" spans="1:30" x14ac:dyDescent="0.3">
      <c r="B28" s="16" t="s">
        <v>9</v>
      </c>
      <c r="C28" s="1">
        <f t="shared" ref="C28:AD28" si="7">SUM(0)</f>
        <v>0</v>
      </c>
      <c r="D28" s="1">
        <f t="shared" si="7"/>
        <v>0</v>
      </c>
      <c r="E28" s="1">
        <f t="shared" si="7"/>
        <v>0</v>
      </c>
      <c r="F28" s="1">
        <f t="shared" si="7"/>
        <v>0</v>
      </c>
      <c r="G28" s="1">
        <f t="shared" si="7"/>
        <v>0</v>
      </c>
      <c r="H28" s="1">
        <f t="shared" si="7"/>
        <v>0</v>
      </c>
      <c r="I28" s="1">
        <f t="shared" si="7"/>
        <v>0</v>
      </c>
      <c r="J28" s="1">
        <f t="shared" si="7"/>
        <v>0</v>
      </c>
      <c r="K28" s="1">
        <f t="shared" si="7"/>
        <v>0</v>
      </c>
      <c r="L28" s="1">
        <f t="shared" si="7"/>
        <v>0</v>
      </c>
      <c r="M28" s="1">
        <f t="shared" si="7"/>
        <v>0</v>
      </c>
      <c r="N28" s="1">
        <f t="shared" si="7"/>
        <v>0</v>
      </c>
      <c r="O28" s="1">
        <f t="shared" si="7"/>
        <v>0</v>
      </c>
      <c r="P28" s="1">
        <f t="shared" si="7"/>
        <v>0</v>
      </c>
      <c r="Q28" s="1">
        <f t="shared" si="7"/>
        <v>0</v>
      </c>
      <c r="R28" s="1">
        <f t="shared" si="7"/>
        <v>0</v>
      </c>
      <c r="S28" s="1">
        <f t="shared" si="7"/>
        <v>0</v>
      </c>
      <c r="T28" s="1">
        <f t="shared" si="7"/>
        <v>0</v>
      </c>
      <c r="U28" s="1">
        <f t="shared" si="7"/>
        <v>0</v>
      </c>
      <c r="V28" s="1">
        <f t="shared" si="7"/>
        <v>0</v>
      </c>
      <c r="W28" s="1">
        <f t="shared" si="7"/>
        <v>0</v>
      </c>
      <c r="X28" s="1">
        <f t="shared" si="7"/>
        <v>0</v>
      </c>
      <c r="Y28" s="1">
        <f t="shared" si="7"/>
        <v>0</v>
      </c>
      <c r="Z28" s="1">
        <f t="shared" si="7"/>
        <v>0</v>
      </c>
      <c r="AA28" s="1">
        <f t="shared" si="7"/>
        <v>0</v>
      </c>
      <c r="AB28" s="1">
        <f>AB29</f>
        <v>2000</v>
      </c>
      <c r="AC28" s="1">
        <f t="shared" si="7"/>
        <v>0</v>
      </c>
      <c r="AD28" s="1">
        <f t="shared" si="7"/>
        <v>0</v>
      </c>
    </row>
    <row r="29" spans="1:30" x14ac:dyDescent="0.3">
      <c r="B29" s="19" t="str">
        <f t="array" ref="B29">7790&amp;" - "&amp;"Diverse kostnader"</f>
        <v>7790 - Diverse kostnader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>
        <f>500+1500</f>
        <v>2000</v>
      </c>
      <c r="AC29" s="41"/>
      <c r="AD29" s="41"/>
    </row>
    <row r="30" spans="1:30" x14ac:dyDescent="0.3">
      <c r="B30" s="25" t="s">
        <v>3</v>
      </c>
      <c r="C30" s="6" t="e">
        <f>C28+#REF!+#REF!+#REF!+#REF!+#REF!+C22+C20+#REF!</f>
        <v>#REF!</v>
      </c>
      <c r="D30" s="6" t="e">
        <f>D28+#REF!+#REF!+#REF!+#REF!+#REF!+D22+D20+#REF!</f>
        <v>#REF!</v>
      </c>
      <c r="E30" s="6" t="e">
        <f>E28+#REF!+#REF!+#REF!+#REF!+#REF!+E22+E20+#REF!</f>
        <v>#REF!</v>
      </c>
      <c r="F30" s="6" t="e">
        <f>F28+#REF!+#REF!+#REF!+#REF!+#REF!+F22+F20+#REF!</f>
        <v>#REF!</v>
      </c>
      <c r="G30" s="6" t="e">
        <f>G28+#REF!+#REF!+#REF!+#REF!+#REF!+G22+G20+#REF!</f>
        <v>#REF!</v>
      </c>
      <c r="H30" s="6" t="e">
        <f>H28+#REF!+#REF!+#REF!+#REF!+#REF!+H22+H20+#REF!</f>
        <v>#REF!</v>
      </c>
      <c r="I30" s="6" t="e">
        <f>I28+#REF!+#REF!+#REF!+#REF!+#REF!+I22+I20+#REF!</f>
        <v>#REF!</v>
      </c>
      <c r="J30" s="6" t="e">
        <f>J28+#REF!+#REF!+#REF!+#REF!+#REF!+J22+J20+#REF!</f>
        <v>#REF!</v>
      </c>
      <c r="K30" s="6" t="e">
        <f>K28+#REF!+#REF!+#REF!+#REF!+#REF!+K22+K20+#REF!</f>
        <v>#REF!</v>
      </c>
      <c r="L30" s="6" t="e">
        <f>L28+#REF!+#REF!+#REF!+#REF!+#REF!+L22+L20+#REF!</f>
        <v>#REF!</v>
      </c>
      <c r="M30" s="6" t="e">
        <f>M28+#REF!+#REF!+#REF!+#REF!+#REF!+M22+M20+#REF!</f>
        <v>#REF!</v>
      </c>
      <c r="N30" s="6" t="e">
        <f>N28+#REF!+#REF!+#REF!+#REF!+#REF!+N22+N20+#REF!</f>
        <v>#REF!</v>
      </c>
      <c r="O30" s="6">
        <f>O28+O22+O20</f>
        <v>19452</v>
      </c>
      <c r="P30" s="6">
        <f t="shared" ref="P30:AD30" si="8">P28+P22+P20</f>
        <v>0</v>
      </c>
      <c r="Q30" s="6">
        <f t="shared" si="8"/>
        <v>0</v>
      </c>
      <c r="R30" s="6">
        <f t="shared" si="8"/>
        <v>0</v>
      </c>
      <c r="S30" s="6">
        <f t="shared" si="8"/>
        <v>0</v>
      </c>
      <c r="T30" s="6">
        <f t="shared" si="8"/>
        <v>0</v>
      </c>
      <c r="U30" s="6">
        <f t="shared" si="8"/>
        <v>0</v>
      </c>
      <c r="V30" s="6">
        <f t="shared" si="8"/>
        <v>0</v>
      </c>
      <c r="W30" s="6">
        <f t="shared" si="8"/>
        <v>0</v>
      </c>
      <c r="X30" s="6">
        <f t="shared" si="8"/>
        <v>0</v>
      </c>
      <c r="Y30" s="6">
        <f t="shared" si="8"/>
        <v>0</v>
      </c>
      <c r="Z30" s="6">
        <f t="shared" si="8"/>
        <v>0</v>
      </c>
      <c r="AA30" s="6">
        <f t="shared" si="8"/>
        <v>0</v>
      </c>
      <c r="AB30" s="6">
        <f t="shared" si="8"/>
        <v>158000</v>
      </c>
      <c r="AC30" s="6">
        <f t="shared" si="8"/>
        <v>142646</v>
      </c>
      <c r="AD30" s="6">
        <f t="shared" si="8"/>
        <v>27500</v>
      </c>
    </row>
    <row r="31" spans="1:30" x14ac:dyDescent="0.3"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22"/>
      <c r="AD31" s="22"/>
    </row>
    <row r="32" spans="1:30" x14ac:dyDescent="0.3"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22"/>
      <c r="AD32" s="22"/>
    </row>
    <row r="33" spans="1:30" x14ac:dyDescent="0.3"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22"/>
      <c r="AD33" s="22"/>
    </row>
    <row r="34" spans="1:30" x14ac:dyDescent="0.3">
      <c r="B34" s="16" t="s">
        <v>20</v>
      </c>
      <c r="C34" s="1">
        <f t="shared" ref="C34:AD34" si="9">SUM(0)</f>
        <v>0</v>
      </c>
      <c r="D34" s="1">
        <f t="shared" si="9"/>
        <v>0</v>
      </c>
      <c r="E34" s="1">
        <f t="shared" si="9"/>
        <v>0</v>
      </c>
      <c r="F34" s="1">
        <f t="shared" si="9"/>
        <v>0</v>
      </c>
      <c r="G34" s="1">
        <f t="shared" si="9"/>
        <v>0</v>
      </c>
      <c r="H34" s="1">
        <f t="shared" si="9"/>
        <v>0</v>
      </c>
      <c r="I34" s="1">
        <f t="shared" si="9"/>
        <v>0</v>
      </c>
      <c r="J34" s="1">
        <f t="shared" si="9"/>
        <v>0</v>
      </c>
      <c r="K34" s="1">
        <f t="shared" si="9"/>
        <v>0</v>
      </c>
      <c r="L34" s="1">
        <f t="shared" si="9"/>
        <v>0</v>
      </c>
      <c r="M34" s="1">
        <f t="shared" si="9"/>
        <v>0</v>
      </c>
      <c r="N34" s="1">
        <f t="shared" si="9"/>
        <v>0</v>
      </c>
      <c r="O34" s="1">
        <f t="shared" si="9"/>
        <v>0</v>
      </c>
      <c r="P34" s="1">
        <f t="shared" si="9"/>
        <v>0</v>
      </c>
      <c r="Q34" s="1">
        <f t="shared" si="9"/>
        <v>0</v>
      </c>
      <c r="R34" s="1">
        <f t="shared" si="9"/>
        <v>0</v>
      </c>
      <c r="S34" s="1">
        <f t="shared" si="9"/>
        <v>0</v>
      </c>
      <c r="T34" s="1">
        <f t="shared" si="9"/>
        <v>0</v>
      </c>
      <c r="U34" s="1">
        <f t="shared" si="9"/>
        <v>0</v>
      </c>
      <c r="V34" s="1">
        <f t="shared" si="9"/>
        <v>0</v>
      </c>
      <c r="W34" s="1">
        <f t="shared" si="9"/>
        <v>0</v>
      </c>
      <c r="X34" s="1">
        <f t="shared" si="9"/>
        <v>0</v>
      </c>
      <c r="Y34" s="1">
        <f t="shared" si="9"/>
        <v>0</v>
      </c>
      <c r="Z34" s="1">
        <f t="shared" si="9"/>
        <v>0</v>
      </c>
      <c r="AA34" s="1">
        <f t="shared" si="9"/>
        <v>0</v>
      </c>
      <c r="AB34" s="1">
        <f t="shared" si="9"/>
        <v>0</v>
      </c>
      <c r="AC34" s="1">
        <f t="shared" si="9"/>
        <v>0</v>
      </c>
      <c r="AD34" s="1">
        <f t="shared" si="9"/>
        <v>0</v>
      </c>
    </row>
    <row r="35" spans="1:30" ht="16.2" thickBot="1" x14ac:dyDescent="0.35">
      <c r="B35" s="31" t="s">
        <v>121</v>
      </c>
      <c r="C35" s="5" t="e">
        <f t="shared" ref="C35:AD35" si="10">C34+C30+C16</f>
        <v>#REF!</v>
      </c>
      <c r="D35" s="5" t="e">
        <f t="shared" si="10"/>
        <v>#REF!</v>
      </c>
      <c r="E35" s="5" t="e">
        <f t="shared" si="10"/>
        <v>#REF!</v>
      </c>
      <c r="F35" s="5" t="e">
        <f t="shared" si="10"/>
        <v>#REF!</v>
      </c>
      <c r="G35" s="5" t="e">
        <f t="shared" si="10"/>
        <v>#REF!</v>
      </c>
      <c r="H35" s="5" t="e">
        <f t="shared" si="10"/>
        <v>#REF!</v>
      </c>
      <c r="I35" s="5" t="e">
        <f t="shared" si="10"/>
        <v>#REF!</v>
      </c>
      <c r="J35" s="5" t="e">
        <f t="shared" si="10"/>
        <v>#REF!</v>
      </c>
      <c r="K35" s="5" t="e">
        <f t="shared" si="10"/>
        <v>#REF!</v>
      </c>
      <c r="L35" s="5" t="e">
        <f t="shared" si="10"/>
        <v>#REF!</v>
      </c>
      <c r="M35" s="5" t="e">
        <f t="shared" si="10"/>
        <v>#REF!</v>
      </c>
      <c r="N35" s="5" t="e">
        <f t="shared" si="10"/>
        <v>#REF!</v>
      </c>
      <c r="O35" s="5">
        <f t="shared" si="10"/>
        <v>-38209.51</v>
      </c>
      <c r="P35" s="5">
        <f t="shared" si="10"/>
        <v>0</v>
      </c>
      <c r="Q35" s="5">
        <f t="shared" si="10"/>
        <v>0</v>
      </c>
      <c r="R35" s="5">
        <f t="shared" si="10"/>
        <v>0</v>
      </c>
      <c r="S35" s="5">
        <f t="shared" si="10"/>
        <v>0</v>
      </c>
      <c r="T35" s="5">
        <f t="shared" si="10"/>
        <v>0</v>
      </c>
      <c r="U35" s="5">
        <f t="shared" si="10"/>
        <v>0</v>
      </c>
      <c r="V35" s="5">
        <f t="shared" si="10"/>
        <v>0</v>
      </c>
      <c r="W35" s="5">
        <f t="shared" si="10"/>
        <v>0</v>
      </c>
      <c r="X35" s="5">
        <f t="shared" si="10"/>
        <v>0</v>
      </c>
      <c r="Y35" s="5">
        <f t="shared" si="10"/>
        <v>0</v>
      </c>
      <c r="Z35" s="5">
        <f t="shared" si="10"/>
        <v>0</v>
      </c>
      <c r="AA35" s="5">
        <f t="shared" si="10"/>
        <v>0</v>
      </c>
      <c r="AB35" s="5">
        <f t="shared" si="10"/>
        <v>-14000</v>
      </c>
      <c r="AC35" s="5">
        <f t="shared" si="10"/>
        <v>-26226</v>
      </c>
      <c r="AD35" s="5">
        <f t="shared" si="10"/>
        <v>-25500</v>
      </c>
    </row>
    <row r="36" spans="1:30" ht="15" thickTop="1" x14ac:dyDescent="0.3"/>
    <row r="38" spans="1:30" x14ac:dyDescent="0.3">
      <c r="A38" t="s">
        <v>112</v>
      </c>
    </row>
  </sheetData>
  <sheetProtection algorithmName="SHA-512" hashValue="0O9b7TP+29OEhTE/SDzR+6Pj+fPIT+p7JcYnHwNBEYaVpnKSaQtCd44SHNgh5Uev6XzRX7OZMBw1IpS5nNX6SA==" saltValue="8nqwx1tLmHexlsmiuPLdvA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C29"/>
  <sheetViews>
    <sheetView workbookViewId="0">
      <selection activeCell="AG9" sqref="AG9"/>
    </sheetView>
  </sheetViews>
  <sheetFormatPr baseColWidth="10" defaultColWidth="9.109375" defaultRowHeight="14.4" outlineLevelRow="1" outlineLevelCol="1" x14ac:dyDescent="0.3"/>
  <cols>
    <col min="1" max="1" width="5.88671875" customWidth="1"/>
    <col min="2" max="2" width="40.6640625" customWidth="1"/>
    <col min="3" max="14" width="10.109375" hidden="1" customWidth="1" outlineLevel="1"/>
    <col min="15" max="15" width="11" customWidth="1" collapsed="1"/>
    <col min="16" max="27" width="11" hidden="1" customWidth="1" outlineLevel="1"/>
    <col min="28" max="28" width="11" customWidth="1" collapsed="1"/>
    <col min="29" max="29" width="11" customWidth="1"/>
  </cols>
  <sheetData>
    <row r="1" spans="2:29" ht="25.8" x14ac:dyDescent="0.5">
      <c r="B1" s="24" t="s">
        <v>118</v>
      </c>
    </row>
    <row r="4" spans="2:29" ht="15" thickBot="1" x14ac:dyDescent="0.35"/>
    <row r="5" spans="2:29" ht="15.6" x14ac:dyDescent="0.3"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 t="s">
        <v>14</v>
      </c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 t="s">
        <v>13</v>
      </c>
      <c r="AC5" s="59" t="s">
        <v>14</v>
      </c>
    </row>
    <row r="6" spans="2:29" ht="15.6" x14ac:dyDescent="0.3">
      <c r="B6" s="6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20" t="s">
        <v>11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20" t="s">
        <v>11</v>
      </c>
      <c r="AC6" s="61" t="s">
        <v>93</v>
      </c>
    </row>
    <row r="7" spans="2:29" x14ac:dyDescent="0.3">
      <c r="B7" s="6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v>2020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>
        <v>2020</v>
      </c>
      <c r="AC7" s="63">
        <v>2019</v>
      </c>
    </row>
    <row r="8" spans="2:29" ht="21" x14ac:dyDescent="0.4">
      <c r="B8" s="64" t="s">
        <v>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65"/>
    </row>
    <row r="9" spans="2:29" x14ac:dyDescent="0.3">
      <c r="B9" s="66" t="s">
        <v>10</v>
      </c>
      <c r="C9" s="1">
        <f t="shared" ref="C9:AC9" si="0">SUM(C10:C13)</f>
        <v>0</v>
      </c>
      <c r="D9" s="1">
        <f t="shared" si="0"/>
        <v>-3800</v>
      </c>
      <c r="E9" s="1">
        <f t="shared" si="0"/>
        <v>-800</v>
      </c>
      <c r="F9" s="1">
        <f t="shared" si="0"/>
        <v>-1000</v>
      </c>
      <c r="G9" s="1">
        <f t="shared" si="0"/>
        <v>-16547.97</v>
      </c>
      <c r="H9" s="1">
        <f t="shared" si="0"/>
        <v>-8000</v>
      </c>
      <c r="I9" s="1">
        <f t="shared" si="0"/>
        <v>0</v>
      </c>
      <c r="J9" s="1">
        <f t="shared" si="0"/>
        <v>0</v>
      </c>
      <c r="K9" s="1">
        <f t="shared" si="0"/>
        <v>-5389.39</v>
      </c>
      <c r="L9" s="1">
        <f t="shared" si="0"/>
        <v>0</v>
      </c>
      <c r="M9" s="1">
        <f t="shared" si="0"/>
        <v>0</v>
      </c>
      <c r="N9" s="1">
        <f t="shared" si="0"/>
        <v>-7445.0199999999995</v>
      </c>
      <c r="O9" s="1">
        <f t="shared" si="0"/>
        <v>-42982.380000000005</v>
      </c>
      <c r="P9" s="1">
        <f t="shared" si="0"/>
        <v>0</v>
      </c>
      <c r="Q9" s="1">
        <f t="shared" si="0"/>
        <v>0</v>
      </c>
      <c r="R9" s="1">
        <f t="shared" si="0"/>
        <v>0</v>
      </c>
      <c r="S9" s="1">
        <f t="shared" si="0"/>
        <v>0</v>
      </c>
      <c r="T9" s="1">
        <f t="shared" si="0"/>
        <v>0</v>
      </c>
      <c r="U9" s="1">
        <f t="shared" si="0"/>
        <v>0</v>
      </c>
      <c r="V9" s="1">
        <f t="shared" si="0"/>
        <v>0</v>
      </c>
      <c r="W9" s="1">
        <f t="shared" si="0"/>
        <v>0</v>
      </c>
      <c r="X9" s="1">
        <f t="shared" si="0"/>
        <v>0</v>
      </c>
      <c r="Y9" s="1">
        <f t="shared" si="0"/>
        <v>0</v>
      </c>
      <c r="Z9" s="1">
        <f t="shared" si="0"/>
        <v>0</v>
      </c>
      <c r="AA9" s="1">
        <f t="shared" si="0"/>
        <v>0</v>
      </c>
      <c r="AB9" s="1">
        <f t="shared" si="0"/>
        <v>-45600</v>
      </c>
      <c r="AC9" s="67">
        <f t="shared" si="0"/>
        <v>29382.379999999997</v>
      </c>
    </row>
    <row r="10" spans="2:29" outlineLevel="1" x14ac:dyDescent="0.3">
      <c r="B10" s="68" t="str">
        <f t="array" ref="B10">3930&amp;" - "&amp;"Treningsavgifter"</f>
        <v>3930 - Treningsavgifter</v>
      </c>
      <c r="C10" s="2"/>
      <c r="D10" s="2">
        <v>-3800</v>
      </c>
      <c r="E10" s="2">
        <v>-800</v>
      </c>
      <c r="F10" s="2"/>
      <c r="G10" s="2"/>
      <c r="H10" s="2"/>
      <c r="I10" s="2"/>
      <c r="J10" s="2"/>
      <c r="K10" s="2"/>
      <c r="L10" s="2"/>
      <c r="M10" s="2"/>
      <c r="N10" s="2"/>
      <c r="O10" s="2">
        <v>-4600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>
        <v>-4600</v>
      </c>
      <c r="AC10" s="69">
        <f>AB10-O10</f>
        <v>0</v>
      </c>
    </row>
    <row r="11" spans="2:29" outlineLevel="1" x14ac:dyDescent="0.3">
      <c r="B11" s="68" t="str">
        <f t="array" ref="B11">3940&amp;" - "&amp;"Egenandeler"</f>
        <v>3940 - Egenandeler</v>
      </c>
      <c r="C11" s="2"/>
      <c r="D11" s="2"/>
      <c r="E11" s="2"/>
      <c r="F11" s="2">
        <v>-1000</v>
      </c>
      <c r="G11" s="2">
        <v>-12000</v>
      </c>
      <c r="H11" s="2">
        <v>-8000</v>
      </c>
      <c r="I11" s="2"/>
      <c r="J11" s="2"/>
      <c r="K11" s="2"/>
      <c r="L11" s="2"/>
      <c r="M11" s="2"/>
      <c r="N11" s="2"/>
      <c r="O11" s="2">
        <v>-21000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>
        <v>-25000</v>
      </c>
      <c r="AC11" s="69">
        <f>AB11-O11</f>
        <v>-4000</v>
      </c>
    </row>
    <row r="12" spans="2:29" outlineLevel="1" x14ac:dyDescent="0.3">
      <c r="B12" s="68" t="str">
        <f t="array" ref="B12">3960&amp;" - "&amp;"Lotterier, bingo etc"</f>
        <v>3960 - Lotterier, bingo etc</v>
      </c>
      <c r="C12" s="2"/>
      <c r="D12" s="2"/>
      <c r="E12" s="2"/>
      <c r="F12" s="2"/>
      <c r="G12" s="2">
        <v>-4547.97</v>
      </c>
      <c r="H12" s="2"/>
      <c r="I12" s="2"/>
      <c r="J12" s="2"/>
      <c r="K12" s="2">
        <v>-5389.39</v>
      </c>
      <c r="L12" s="2"/>
      <c r="M12" s="2"/>
      <c r="N12" s="2">
        <v>-4838.1899999999996</v>
      </c>
      <c r="O12" s="2">
        <v>-14775.55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>
        <v>-14000</v>
      </c>
      <c r="AC12" s="69">
        <f>-AB12-O12</f>
        <v>28775.55</v>
      </c>
    </row>
    <row r="13" spans="2:29" outlineLevel="1" x14ac:dyDescent="0.3">
      <c r="B13" s="68" t="str">
        <f t="array" ref="B13">3970&amp;" - "&amp;"Momskompensasjon"</f>
        <v>3970 - Momskompensasjon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-2606.83</v>
      </c>
      <c r="O13" s="2">
        <v>-2606.83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>
        <v>-2000</v>
      </c>
      <c r="AC13" s="69">
        <f>-AB13-O13</f>
        <v>4606.83</v>
      </c>
    </row>
    <row r="14" spans="2:29" x14ac:dyDescent="0.3">
      <c r="B14" s="70" t="s">
        <v>7</v>
      </c>
      <c r="C14" s="7" t="e">
        <f>C9+#REF!+#REF!+#REF!</f>
        <v>#REF!</v>
      </c>
      <c r="D14" s="7" t="e">
        <f>D9+#REF!+#REF!+#REF!</f>
        <v>#REF!</v>
      </c>
      <c r="E14" s="7" t="e">
        <f>E9+#REF!+#REF!+#REF!</f>
        <v>#REF!</v>
      </c>
      <c r="F14" s="7" t="e">
        <f>F9+#REF!+#REF!+#REF!</f>
        <v>#REF!</v>
      </c>
      <c r="G14" s="7" t="e">
        <f>G9+#REF!+#REF!+#REF!</f>
        <v>#REF!</v>
      </c>
      <c r="H14" s="7" t="e">
        <f>H9+#REF!+#REF!+#REF!</f>
        <v>#REF!</v>
      </c>
      <c r="I14" s="7" t="e">
        <f>I9+#REF!+#REF!+#REF!</f>
        <v>#REF!</v>
      </c>
      <c r="J14" s="7" t="e">
        <f>J9+#REF!+#REF!+#REF!</f>
        <v>#REF!</v>
      </c>
      <c r="K14" s="7" t="e">
        <f>K9+#REF!+#REF!+#REF!</f>
        <v>#REF!</v>
      </c>
      <c r="L14" s="7" t="e">
        <f>L9+#REF!+#REF!+#REF!</f>
        <v>#REF!</v>
      </c>
      <c r="M14" s="7" t="e">
        <f>M9+#REF!+#REF!+#REF!</f>
        <v>#REF!</v>
      </c>
      <c r="N14" s="7" t="e">
        <f>N9+#REF!+#REF!+#REF!</f>
        <v>#REF!</v>
      </c>
      <c r="O14" s="7">
        <f>O9</f>
        <v>-42982.380000000005</v>
      </c>
      <c r="P14" s="7">
        <f t="shared" ref="P14:AC14" si="1">P9</f>
        <v>0</v>
      </c>
      <c r="Q14" s="7">
        <f t="shared" si="1"/>
        <v>0</v>
      </c>
      <c r="R14" s="7">
        <f t="shared" si="1"/>
        <v>0</v>
      </c>
      <c r="S14" s="7">
        <f t="shared" si="1"/>
        <v>0</v>
      </c>
      <c r="T14" s="7">
        <f t="shared" si="1"/>
        <v>0</v>
      </c>
      <c r="U14" s="7">
        <f t="shared" si="1"/>
        <v>0</v>
      </c>
      <c r="V14" s="7">
        <f t="shared" si="1"/>
        <v>0</v>
      </c>
      <c r="W14" s="7">
        <f t="shared" si="1"/>
        <v>0</v>
      </c>
      <c r="X14" s="7">
        <f t="shared" si="1"/>
        <v>0</v>
      </c>
      <c r="Y14" s="7">
        <f t="shared" si="1"/>
        <v>0</v>
      </c>
      <c r="Z14" s="7">
        <f t="shared" si="1"/>
        <v>0</v>
      </c>
      <c r="AA14" s="7">
        <f t="shared" si="1"/>
        <v>0</v>
      </c>
      <c r="AB14" s="7">
        <f t="shared" si="1"/>
        <v>-45600</v>
      </c>
      <c r="AC14" s="7">
        <f t="shared" si="1"/>
        <v>29382.379999999997</v>
      </c>
    </row>
    <row r="15" spans="2:29" x14ac:dyDescent="0.3">
      <c r="B15" s="6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71"/>
    </row>
    <row r="16" spans="2:29" x14ac:dyDescent="0.3">
      <c r="B16" s="6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71"/>
    </row>
    <row r="17" spans="2:29" ht="21" x14ac:dyDescent="0.4">
      <c r="B17" s="64" t="s">
        <v>19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2"/>
    </row>
    <row r="18" spans="2:29" x14ac:dyDescent="0.3">
      <c r="B18" s="66" t="s">
        <v>8</v>
      </c>
      <c r="C18" s="1">
        <f t="shared" ref="C18:AC18" si="2">SUM(0)</f>
        <v>0</v>
      </c>
      <c r="D18" s="1">
        <f t="shared" si="2"/>
        <v>0</v>
      </c>
      <c r="E18" s="1">
        <f t="shared" si="2"/>
        <v>0</v>
      </c>
      <c r="F18" s="1">
        <f t="shared" si="2"/>
        <v>0</v>
      </c>
      <c r="G18" s="1">
        <f t="shared" si="2"/>
        <v>0</v>
      </c>
      <c r="H18" s="1">
        <f t="shared" si="2"/>
        <v>0</v>
      </c>
      <c r="I18" s="1">
        <f t="shared" si="2"/>
        <v>0</v>
      </c>
      <c r="J18" s="1">
        <f t="shared" si="2"/>
        <v>0</v>
      </c>
      <c r="K18" s="1">
        <f t="shared" si="2"/>
        <v>0</v>
      </c>
      <c r="L18" s="1">
        <f t="shared" si="2"/>
        <v>0</v>
      </c>
      <c r="M18" s="1">
        <f t="shared" si="2"/>
        <v>0</v>
      </c>
      <c r="N18" s="1">
        <f t="shared" si="2"/>
        <v>0</v>
      </c>
      <c r="O18" s="1">
        <f t="shared" si="2"/>
        <v>0</v>
      </c>
      <c r="P18" s="1">
        <f t="shared" si="2"/>
        <v>0</v>
      </c>
      <c r="Q18" s="1">
        <f t="shared" si="2"/>
        <v>0</v>
      </c>
      <c r="R18" s="1">
        <f t="shared" si="2"/>
        <v>0</v>
      </c>
      <c r="S18" s="1">
        <f t="shared" si="2"/>
        <v>0</v>
      </c>
      <c r="T18" s="1">
        <f t="shared" si="2"/>
        <v>0</v>
      </c>
      <c r="U18" s="1">
        <f t="shared" si="2"/>
        <v>0</v>
      </c>
      <c r="V18" s="1">
        <f t="shared" si="2"/>
        <v>0</v>
      </c>
      <c r="W18" s="1">
        <f t="shared" si="2"/>
        <v>0</v>
      </c>
      <c r="X18" s="1">
        <f t="shared" si="2"/>
        <v>0</v>
      </c>
      <c r="Y18" s="1">
        <f t="shared" si="2"/>
        <v>0</v>
      </c>
      <c r="Z18" s="1">
        <f t="shared" si="2"/>
        <v>0</v>
      </c>
      <c r="AA18" s="1">
        <f t="shared" si="2"/>
        <v>0</v>
      </c>
      <c r="AB18" s="1">
        <v>150</v>
      </c>
      <c r="AC18" s="67">
        <f t="shared" si="2"/>
        <v>0</v>
      </c>
    </row>
    <row r="19" spans="2:29" x14ac:dyDescent="0.3">
      <c r="B19" s="68" t="s">
        <v>39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>
        <v>150</v>
      </c>
      <c r="AC19" s="73"/>
    </row>
    <row r="20" spans="2:29" x14ac:dyDescent="0.3">
      <c r="B20" s="66" t="s">
        <v>21</v>
      </c>
      <c r="C20" s="1">
        <f t="shared" ref="C20:AC20" si="3">SUM(C21:C22)</f>
        <v>0</v>
      </c>
      <c r="D20" s="1">
        <f t="shared" si="3"/>
        <v>381.4</v>
      </c>
      <c r="E20" s="1">
        <f t="shared" si="3"/>
        <v>3999</v>
      </c>
      <c r="F20" s="1">
        <f t="shared" si="3"/>
        <v>0</v>
      </c>
      <c r="G20" s="1">
        <f t="shared" si="3"/>
        <v>0</v>
      </c>
      <c r="H20" s="1">
        <f t="shared" si="3"/>
        <v>753</v>
      </c>
      <c r="I20" s="1">
        <f t="shared" si="3"/>
        <v>14396.4</v>
      </c>
      <c r="J20" s="1">
        <f t="shared" si="3"/>
        <v>0</v>
      </c>
      <c r="K20" s="1">
        <f t="shared" si="3"/>
        <v>9636.35</v>
      </c>
      <c r="L20" s="1">
        <f t="shared" si="3"/>
        <v>21594.6</v>
      </c>
      <c r="M20" s="1">
        <f t="shared" si="3"/>
        <v>0</v>
      </c>
      <c r="N20" s="1">
        <f t="shared" si="3"/>
        <v>0</v>
      </c>
      <c r="O20" s="1">
        <f t="shared" si="3"/>
        <v>50760.75</v>
      </c>
      <c r="P20" s="1">
        <f t="shared" si="3"/>
        <v>0</v>
      </c>
      <c r="Q20" s="1">
        <f t="shared" si="3"/>
        <v>0</v>
      </c>
      <c r="R20" s="1">
        <f t="shared" si="3"/>
        <v>0</v>
      </c>
      <c r="S20" s="1">
        <f t="shared" si="3"/>
        <v>0</v>
      </c>
      <c r="T20" s="1">
        <f t="shared" si="3"/>
        <v>0</v>
      </c>
      <c r="U20" s="1">
        <f t="shared" si="3"/>
        <v>0</v>
      </c>
      <c r="V20" s="1">
        <f t="shared" si="3"/>
        <v>0</v>
      </c>
      <c r="W20" s="1">
        <f t="shared" si="3"/>
        <v>0</v>
      </c>
      <c r="X20" s="1">
        <f t="shared" si="3"/>
        <v>0</v>
      </c>
      <c r="Y20" s="1">
        <f t="shared" si="3"/>
        <v>0</v>
      </c>
      <c r="Z20" s="1">
        <f t="shared" si="3"/>
        <v>0</v>
      </c>
      <c r="AA20" s="1">
        <f t="shared" si="3"/>
        <v>0</v>
      </c>
      <c r="AB20" s="1">
        <f t="shared" si="3"/>
        <v>45000</v>
      </c>
      <c r="AC20" s="67">
        <f t="shared" si="3"/>
        <v>-15780.75</v>
      </c>
    </row>
    <row r="21" spans="2:29" outlineLevel="1" x14ac:dyDescent="0.3">
      <c r="B21" s="68" t="str">
        <f t="array" ref="B21">7144&amp;" - "&amp;"Hotell/overnatting"</f>
        <v>7144 - Hotell/overnatting</v>
      </c>
      <c r="C21" s="2"/>
      <c r="D21" s="2"/>
      <c r="E21" s="2">
        <v>3999</v>
      </c>
      <c r="F21" s="2"/>
      <c r="G21" s="2"/>
      <c r="H21" s="2"/>
      <c r="I21" s="2">
        <v>14396.4</v>
      </c>
      <c r="J21" s="2"/>
      <c r="K21" s="2"/>
      <c r="L21" s="2">
        <v>21594.6</v>
      </c>
      <c r="M21" s="2"/>
      <c r="N21" s="2"/>
      <c r="O21" s="2">
        <v>39990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>
        <v>45000</v>
      </c>
      <c r="AC21" s="69">
        <f>O21-AB21</f>
        <v>-5010</v>
      </c>
    </row>
    <row r="22" spans="2:29" outlineLevel="1" x14ac:dyDescent="0.3">
      <c r="B22" s="68" t="str">
        <f t="array" ref="B22">7162&amp;" - "&amp;"Bevertning/mat"</f>
        <v>7162 - Bevertning/mat</v>
      </c>
      <c r="C22" s="2"/>
      <c r="D22" s="2">
        <v>381.4</v>
      </c>
      <c r="E22" s="2"/>
      <c r="F22" s="2"/>
      <c r="G22" s="2"/>
      <c r="H22" s="2">
        <v>753</v>
      </c>
      <c r="I22" s="2"/>
      <c r="J22" s="2"/>
      <c r="K22" s="2">
        <v>9636.35</v>
      </c>
      <c r="L22" s="2"/>
      <c r="M22" s="2"/>
      <c r="N22" s="2"/>
      <c r="O22" s="2">
        <v>10770.75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69">
        <f>AB22-O22</f>
        <v>-10770.75</v>
      </c>
    </row>
    <row r="23" spans="2:29" x14ac:dyDescent="0.3">
      <c r="B23" s="66" t="s">
        <v>17</v>
      </c>
      <c r="C23" s="1">
        <f t="shared" ref="C23:AC23" si="4">SUM(C24:C25)</f>
        <v>0</v>
      </c>
      <c r="D23" s="1">
        <f t="shared" si="4"/>
        <v>0</v>
      </c>
      <c r="E23" s="1">
        <f t="shared" si="4"/>
        <v>3830</v>
      </c>
      <c r="F23" s="1">
        <f t="shared" si="4"/>
        <v>0</v>
      </c>
      <c r="G23" s="1">
        <f t="shared" si="4"/>
        <v>0</v>
      </c>
      <c r="H23" s="1">
        <f t="shared" si="4"/>
        <v>0</v>
      </c>
      <c r="I23" s="1">
        <f t="shared" si="4"/>
        <v>0</v>
      </c>
      <c r="J23" s="1">
        <f t="shared" si="4"/>
        <v>0</v>
      </c>
      <c r="K23" s="1">
        <f t="shared" si="4"/>
        <v>0</v>
      </c>
      <c r="L23" s="1">
        <f t="shared" si="4"/>
        <v>0</v>
      </c>
      <c r="M23" s="1">
        <f t="shared" si="4"/>
        <v>0</v>
      </c>
      <c r="N23" s="1">
        <f t="shared" si="4"/>
        <v>0</v>
      </c>
      <c r="O23" s="1">
        <f t="shared" si="4"/>
        <v>3830</v>
      </c>
      <c r="P23" s="1">
        <f t="shared" si="4"/>
        <v>0</v>
      </c>
      <c r="Q23" s="1">
        <f t="shared" si="4"/>
        <v>0</v>
      </c>
      <c r="R23" s="1">
        <f t="shared" si="4"/>
        <v>0</v>
      </c>
      <c r="S23" s="1">
        <f t="shared" si="4"/>
        <v>0</v>
      </c>
      <c r="T23" s="1">
        <f t="shared" si="4"/>
        <v>0</v>
      </c>
      <c r="U23" s="1">
        <f t="shared" si="4"/>
        <v>0</v>
      </c>
      <c r="V23" s="1">
        <f t="shared" si="4"/>
        <v>0</v>
      </c>
      <c r="W23" s="1">
        <f t="shared" si="4"/>
        <v>0</v>
      </c>
      <c r="X23" s="1">
        <f t="shared" si="4"/>
        <v>0</v>
      </c>
      <c r="Y23" s="1">
        <f t="shared" si="4"/>
        <v>0</v>
      </c>
      <c r="Z23" s="1">
        <f t="shared" si="4"/>
        <v>0</v>
      </c>
      <c r="AA23" s="1">
        <f t="shared" si="4"/>
        <v>0</v>
      </c>
      <c r="AB23" s="1">
        <f t="shared" si="4"/>
        <v>1700</v>
      </c>
      <c r="AC23" s="67">
        <f t="shared" si="4"/>
        <v>-2130</v>
      </c>
    </row>
    <row r="24" spans="2:29" outlineLevel="1" x14ac:dyDescent="0.3">
      <c r="B24" s="68" t="str">
        <f t="array" ref="B24">7410&amp;" - "&amp;"Påmelding serier, turneringer etc"</f>
        <v>7410 - Påmelding serier, turneringer etc</v>
      </c>
      <c r="C24" s="2"/>
      <c r="D24" s="2"/>
      <c r="E24" s="2">
        <v>1700</v>
      </c>
      <c r="F24" s="2"/>
      <c r="G24" s="2"/>
      <c r="H24" s="2"/>
      <c r="I24" s="2"/>
      <c r="J24" s="2"/>
      <c r="K24" s="2"/>
      <c r="L24" s="2"/>
      <c r="M24" s="2"/>
      <c r="N24" s="2"/>
      <c r="O24" s="2">
        <v>1700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>
        <v>1700</v>
      </c>
      <c r="AC24" s="69">
        <f>AB24-O24</f>
        <v>0</v>
      </c>
    </row>
    <row r="25" spans="2:29" outlineLevel="1" x14ac:dyDescent="0.3">
      <c r="B25" s="68" t="str">
        <f t="array" ref="B25">7420&amp;" - "&amp;"Gaver og premier"</f>
        <v>7420 - Gaver og premier</v>
      </c>
      <c r="C25" s="2"/>
      <c r="D25" s="2"/>
      <c r="E25" s="2">
        <v>2130</v>
      </c>
      <c r="F25" s="2"/>
      <c r="G25" s="2"/>
      <c r="H25" s="2"/>
      <c r="I25" s="2"/>
      <c r="J25" s="2"/>
      <c r="K25" s="2"/>
      <c r="L25" s="2"/>
      <c r="M25" s="2"/>
      <c r="N25" s="2"/>
      <c r="O25" s="2">
        <v>2130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69">
        <f>AB25-O25</f>
        <v>-2130</v>
      </c>
    </row>
    <row r="26" spans="2:29" x14ac:dyDescent="0.3">
      <c r="B26" s="74" t="s">
        <v>3</v>
      </c>
      <c r="C26" s="6" t="e">
        <f>#REF!+#REF!+C23+#REF!+#REF!+C20+C18+#REF!+#REF!</f>
        <v>#REF!</v>
      </c>
      <c r="D26" s="6" t="e">
        <f>#REF!+#REF!+D23+#REF!+#REF!+D20+D18+#REF!+#REF!</f>
        <v>#REF!</v>
      </c>
      <c r="E26" s="6" t="e">
        <f>#REF!+#REF!+E23+#REF!+#REF!+E20+E18+#REF!+#REF!</f>
        <v>#REF!</v>
      </c>
      <c r="F26" s="6" t="e">
        <f>#REF!+#REF!+F23+#REF!+#REF!+F20+F18+#REF!+#REF!</f>
        <v>#REF!</v>
      </c>
      <c r="G26" s="6" t="e">
        <f>#REF!+#REF!+G23+#REF!+#REF!+G20+G18+#REF!+#REF!</f>
        <v>#REF!</v>
      </c>
      <c r="H26" s="6" t="e">
        <f>#REF!+#REF!+H23+#REF!+#REF!+H20+H18+#REF!+#REF!</f>
        <v>#REF!</v>
      </c>
      <c r="I26" s="6" t="e">
        <f>#REF!+#REF!+I23+#REF!+#REF!+I20+I18+#REF!+#REF!</f>
        <v>#REF!</v>
      </c>
      <c r="J26" s="6" t="e">
        <f>#REF!+#REF!+J23+#REF!+#REF!+J20+J18+#REF!+#REF!</f>
        <v>#REF!</v>
      </c>
      <c r="K26" s="6" t="e">
        <f>#REF!+#REF!+K23+#REF!+#REF!+K20+K18+#REF!+#REF!</f>
        <v>#REF!</v>
      </c>
      <c r="L26" s="6" t="e">
        <f>#REF!+#REF!+L23+#REF!+#REF!+L20+L18+#REF!+#REF!</f>
        <v>#REF!</v>
      </c>
      <c r="M26" s="6" t="e">
        <f>#REF!+#REF!+M23+#REF!+#REF!+M20+M18+#REF!+#REF!</f>
        <v>#REF!</v>
      </c>
      <c r="N26" s="6" t="e">
        <f>#REF!+#REF!+N23+#REF!+#REF!+N20+N18+#REF!+#REF!</f>
        <v>#REF!</v>
      </c>
      <c r="O26" s="6">
        <f>O23+O20+O18</f>
        <v>54590.75</v>
      </c>
      <c r="P26" s="6">
        <f t="shared" ref="P26:AC26" si="5">P23+P20+P18</f>
        <v>0</v>
      </c>
      <c r="Q26" s="6">
        <f t="shared" si="5"/>
        <v>0</v>
      </c>
      <c r="R26" s="6">
        <f t="shared" si="5"/>
        <v>0</v>
      </c>
      <c r="S26" s="6">
        <f t="shared" si="5"/>
        <v>0</v>
      </c>
      <c r="T26" s="6">
        <f t="shared" si="5"/>
        <v>0</v>
      </c>
      <c r="U26" s="6">
        <f t="shared" si="5"/>
        <v>0</v>
      </c>
      <c r="V26" s="6">
        <f t="shared" si="5"/>
        <v>0</v>
      </c>
      <c r="W26" s="6">
        <f t="shared" si="5"/>
        <v>0</v>
      </c>
      <c r="X26" s="6">
        <f t="shared" si="5"/>
        <v>0</v>
      </c>
      <c r="Y26" s="6">
        <f t="shared" si="5"/>
        <v>0</v>
      </c>
      <c r="Z26" s="6">
        <f t="shared" si="5"/>
        <v>0</v>
      </c>
      <c r="AA26" s="6">
        <f t="shared" si="5"/>
        <v>0</v>
      </c>
      <c r="AB26" s="6">
        <f t="shared" si="5"/>
        <v>46850</v>
      </c>
      <c r="AC26" s="6">
        <f t="shared" si="5"/>
        <v>-17910.75</v>
      </c>
    </row>
    <row r="27" spans="2:29" x14ac:dyDescent="0.3">
      <c r="B27" s="6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71"/>
    </row>
    <row r="28" spans="2:29" x14ac:dyDescent="0.3">
      <c r="B28" s="6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71"/>
    </row>
    <row r="29" spans="2:29" ht="16.2" thickBot="1" x14ac:dyDescent="0.35">
      <c r="B29" s="75" t="s">
        <v>120</v>
      </c>
      <c r="C29" s="76" t="e">
        <f>#REF!+C26+C14</f>
        <v>#REF!</v>
      </c>
      <c r="D29" s="76" t="e">
        <f>#REF!+D26+D14</f>
        <v>#REF!</v>
      </c>
      <c r="E29" s="76" t="e">
        <f>#REF!+E26+E14</f>
        <v>#REF!</v>
      </c>
      <c r="F29" s="76" t="e">
        <f>#REF!+F26+F14</f>
        <v>#REF!</v>
      </c>
      <c r="G29" s="76" t="e">
        <f>#REF!+G26+G14</f>
        <v>#REF!</v>
      </c>
      <c r="H29" s="76" t="e">
        <f>#REF!+H26+H14</f>
        <v>#REF!</v>
      </c>
      <c r="I29" s="76" t="e">
        <f>#REF!+I26+I14</f>
        <v>#REF!</v>
      </c>
      <c r="J29" s="76" t="e">
        <f>#REF!+J26+J14</f>
        <v>#REF!</v>
      </c>
      <c r="K29" s="76" t="e">
        <f>#REF!+K26+K14</f>
        <v>#REF!</v>
      </c>
      <c r="L29" s="76" t="e">
        <f>#REF!+L26+L14</f>
        <v>#REF!</v>
      </c>
      <c r="M29" s="76" t="e">
        <f>#REF!+M26+M14</f>
        <v>#REF!</v>
      </c>
      <c r="N29" s="76" t="e">
        <f>#REF!+N26+N14</f>
        <v>#REF!</v>
      </c>
      <c r="O29" s="76">
        <f>O26+O14</f>
        <v>11608.369999999995</v>
      </c>
      <c r="P29" s="76">
        <f t="shared" ref="P29:AC29" si="6">P26+P14</f>
        <v>0</v>
      </c>
      <c r="Q29" s="76">
        <f t="shared" si="6"/>
        <v>0</v>
      </c>
      <c r="R29" s="76">
        <f t="shared" si="6"/>
        <v>0</v>
      </c>
      <c r="S29" s="76">
        <f t="shared" si="6"/>
        <v>0</v>
      </c>
      <c r="T29" s="76">
        <f t="shared" si="6"/>
        <v>0</v>
      </c>
      <c r="U29" s="76">
        <f t="shared" si="6"/>
        <v>0</v>
      </c>
      <c r="V29" s="76">
        <f t="shared" si="6"/>
        <v>0</v>
      </c>
      <c r="W29" s="76">
        <f t="shared" si="6"/>
        <v>0</v>
      </c>
      <c r="X29" s="76">
        <f t="shared" si="6"/>
        <v>0</v>
      </c>
      <c r="Y29" s="76">
        <f t="shared" si="6"/>
        <v>0</v>
      </c>
      <c r="Z29" s="76">
        <f t="shared" si="6"/>
        <v>0</v>
      </c>
      <c r="AA29" s="76">
        <f t="shared" si="6"/>
        <v>0</v>
      </c>
      <c r="AB29" s="76">
        <f t="shared" si="6"/>
        <v>1250</v>
      </c>
      <c r="AC29" s="76">
        <f t="shared" si="6"/>
        <v>11471.629999999997</v>
      </c>
    </row>
  </sheetData>
  <sheetProtection algorithmName="SHA-512" hashValue="6RsBc0XWdrArLkuIM8PExdZxlCTCNYftsSF7M5M5jQp+000nQHmXEI8A7yN6Gp1vYG8gLK7h0pQUACYhsTQtIA==" saltValue="jm8P9HsYMfyQng+kw2b5Z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Hovedstyret</vt:lpstr>
      <vt:lpstr>Turn</vt:lpstr>
      <vt:lpstr>Håndball</vt:lpstr>
      <vt:lpstr>Fotball</vt:lpstr>
      <vt:lpstr>Aerobic</vt:lpstr>
      <vt:lpstr>Hallen</vt:lpstr>
      <vt:lpstr>Orientering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Ellen-Vera</dc:creator>
  <cp:lastModifiedBy>Sissel Smedby</cp:lastModifiedBy>
  <cp:lastPrinted>2021-03-16T22:58:05Z</cp:lastPrinted>
  <dcterms:created xsi:type="dcterms:W3CDTF">2021-02-19T14:13:48Z</dcterms:created>
  <dcterms:modified xsi:type="dcterms:W3CDTF">2021-03-19T04:34:28Z</dcterms:modified>
</cp:coreProperties>
</file>