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ommedalensil.sharepoint.com/administrasjon/Delte dokumenter/Kontoret/Marianne/Lommedalens IL/Årsmøtet/Årsmøte 2020/"/>
    </mc:Choice>
  </mc:AlternateContent>
  <xr:revisionPtr revIDLastSave="1" documentId="8_{77FC43A4-35FC-41D3-BFDF-46A2E378076F}" xr6:coauthVersionLast="45" xr6:coauthVersionMax="45" xr10:uidLastSave="{36A5BA31-11B9-4B87-921B-11D27F4B9818}"/>
  <bookViews>
    <workbookView xWindow="-57720" yWindow="-120" windowWidth="29040" windowHeight="15840" activeTab="2" xr2:uid="{00000000-000D-0000-FFFF-FFFF00000000}"/>
  </bookViews>
  <sheets>
    <sheet name="Resultat" sheetId="1" r:id="rId1"/>
    <sheet name="Balanse" sheetId="2" r:id="rId2"/>
    <sheet name="Noter" sheetId="3" r:id="rId3"/>
  </sheets>
  <definedNames>
    <definedName name="asac" localSheetId="1">Balanse!$A$1:$I$83</definedName>
    <definedName name="ddddd" localSheetId="1">Balanse!$A$1:$I$85</definedName>
    <definedName name="fdfd" localSheetId="2">Noter!$A$1:$G$112</definedName>
    <definedName name="Print_Area" localSheetId="1">Balanse!$A$1:$H$84</definedName>
    <definedName name="Print_Area" localSheetId="2">Noter!$A$1:$G$153</definedName>
    <definedName name="Print_Area" localSheetId="0">Resultat!$A$1:$H$50</definedName>
    <definedName name="Print_Titles" localSheetId="2">Noter!$1:$2</definedName>
    <definedName name="_xlnm.Print_Area" localSheetId="1">Balanse!$A$1:$H$84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2" i="3" l="1"/>
  <c r="O75" i="3"/>
  <c r="D70" i="3" l="1"/>
  <c r="F69" i="3"/>
  <c r="D36" i="2"/>
  <c r="D47" i="2"/>
  <c r="D40" i="2"/>
  <c r="D16" i="2"/>
  <c r="D19" i="2" l="1"/>
  <c r="C44" i="3" l="1"/>
  <c r="C45" i="3"/>
  <c r="I86" i="3"/>
  <c r="E47" i="2"/>
  <c r="E36" i="2"/>
  <c r="I72" i="3"/>
  <c r="F68" i="3"/>
  <c r="D46" i="2"/>
  <c r="E71" i="3"/>
  <c r="E73" i="3" s="1"/>
  <c r="C69" i="3"/>
  <c r="D17" i="2"/>
  <c r="E17" i="2"/>
  <c r="E16" i="2"/>
  <c r="D39" i="1"/>
  <c r="D20" i="1"/>
  <c r="D21" i="1"/>
  <c r="D19" i="1"/>
  <c r="I70" i="3" l="1"/>
  <c r="I74" i="3" l="1"/>
  <c r="C71" i="3"/>
  <c r="D71" i="3"/>
  <c r="D73" i="3" s="1"/>
  <c r="D49" i="2"/>
  <c r="E20" i="2"/>
  <c r="F26" i="3" l="1"/>
  <c r="F71" i="3"/>
  <c r="F73" i="3" s="1"/>
  <c r="I73" i="3" s="1"/>
  <c r="G26" i="3"/>
  <c r="I71" i="3" l="1"/>
  <c r="D20" i="2" l="1"/>
  <c r="F48" i="3" l="1"/>
  <c r="C48" i="3"/>
  <c r="I85" i="3" l="1"/>
  <c r="I76" i="3" l="1"/>
  <c r="I69" i="3"/>
  <c r="I68" i="3"/>
  <c r="E38" i="2" l="1"/>
  <c r="D52" i="1" l="1"/>
  <c r="E49" i="2" l="1"/>
  <c r="E42" i="2"/>
  <c r="E28" i="2"/>
  <c r="E30" i="2" s="1"/>
  <c r="E42" i="1"/>
  <c r="E33" i="1"/>
  <c r="E24" i="1"/>
  <c r="E51" i="2" l="1"/>
  <c r="E53" i="2" s="1"/>
  <c r="E35" i="1"/>
  <c r="E45" i="1" s="1"/>
  <c r="E52" i="1" l="1"/>
  <c r="D42" i="1" l="1"/>
  <c r="D28" i="2"/>
  <c r="D30" i="2" s="1"/>
  <c r="D24" i="1"/>
  <c r="D33" i="1"/>
  <c r="D42" i="2"/>
  <c r="G47" i="2"/>
  <c r="G25" i="2"/>
  <c r="G28" i="2" s="1"/>
  <c r="G20" i="2"/>
  <c r="G41" i="2"/>
  <c r="G42" i="2" s="1"/>
  <c r="G30" i="1"/>
  <c r="G31" i="1" s="1"/>
  <c r="G22" i="1"/>
  <c r="G24" i="1" s="1"/>
  <c r="G40" i="1"/>
  <c r="G42" i="1" s="1"/>
  <c r="G30" i="2" l="1"/>
  <c r="G49" i="2"/>
  <c r="G51" i="2" s="1"/>
  <c r="G53" i="2" s="1"/>
  <c r="G33" i="1"/>
  <c r="G35" i="1" s="1"/>
  <c r="G45" i="1" s="1"/>
  <c r="G50" i="1" s="1"/>
  <c r="D35" i="1"/>
  <c r="D45" i="1" s="1"/>
  <c r="D51" i="2"/>
  <c r="D38" i="2" l="1"/>
  <c r="D53" i="2" s="1"/>
  <c r="C87" i="3" l="1"/>
  <c r="C88" i="3" s="1"/>
  <c r="I87" i="3" l="1"/>
  <c r="I88" i="3" s="1"/>
</calcChain>
</file>

<file path=xl/sharedStrings.xml><?xml version="1.0" encoding="utf-8"?>
<sst xmlns="http://schemas.openxmlformats.org/spreadsheetml/2006/main" count="179" uniqueCount="160">
  <si>
    <t>Inntekter</t>
  </si>
  <si>
    <t>Medlemskontingenter</t>
  </si>
  <si>
    <t>Parkeringsinntekter</t>
  </si>
  <si>
    <t>Offentlige tilskudd</t>
  </si>
  <si>
    <t>Kostnader</t>
  </si>
  <si>
    <t>Kortsalg</t>
  </si>
  <si>
    <t>Øvrige inntekter</t>
  </si>
  <si>
    <t>Varekostnad</t>
  </si>
  <si>
    <t>Lønnskostnader</t>
  </si>
  <si>
    <t>Avskrivninger</t>
  </si>
  <si>
    <t>Driftsresultat</t>
  </si>
  <si>
    <t>Finansinntekter / Kostnader</t>
  </si>
  <si>
    <t>Finanskostnader</t>
  </si>
  <si>
    <t>Årsresultat</t>
  </si>
  <si>
    <t>Annen driftskostnad</t>
  </si>
  <si>
    <t>Eiendeler</t>
  </si>
  <si>
    <t>Varige driftsmidler</t>
  </si>
  <si>
    <t>Omløpsmidler</t>
  </si>
  <si>
    <t>Egenkapital og Gjeld</t>
  </si>
  <si>
    <t>Egenkapital</t>
  </si>
  <si>
    <t>Kortsiktig gjeld</t>
  </si>
  <si>
    <t>Sum inntekter</t>
  </si>
  <si>
    <t>Sum kostnader</t>
  </si>
  <si>
    <t>Sum varige driftsmidler</t>
  </si>
  <si>
    <t>Langsiktig gjeld</t>
  </si>
  <si>
    <t>Sum kortsiktig gjeld</t>
  </si>
  <si>
    <t>Sum gjeld</t>
  </si>
  <si>
    <t>Sum langsiktig gjeld</t>
  </si>
  <si>
    <t xml:space="preserve">  Kundefordringer</t>
  </si>
  <si>
    <t xml:space="preserve">  Bankinnskudd</t>
  </si>
  <si>
    <t xml:space="preserve"> Annen egenkapital</t>
  </si>
  <si>
    <t xml:space="preserve">  Leverandør gjeld</t>
  </si>
  <si>
    <t xml:space="preserve">  Skyldig offentlige avgifter</t>
  </si>
  <si>
    <t xml:space="preserve">  Annen kortsiktig gjeld</t>
  </si>
  <si>
    <t>Sum egenkapital og gjeld</t>
  </si>
  <si>
    <t>Sum eiendeler</t>
  </si>
  <si>
    <t xml:space="preserve">  Andre fordringer</t>
  </si>
  <si>
    <t>Sum ompløpsmidler</t>
  </si>
  <si>
    <t>Sum finansinntekter - og kostnader</t>
  </si>
  <si>
    <t>Resultat</t>
  </si>
  <si>
    <t>Balanse</t>
  </si>
  <si>
    <t>Disponering resultat:</t>
  </si>
  <si>
    <t>Note</t>
  </si>
  <si>
    <t>Anleggsmidler</t>
  </si>
  <si>
    <t xml:space="preserve">Note 1:    </t>
  </si>
  <si>
    <t xml:space="preserve">  Varebeholdning </t>
  </si>
  <si>
    <t>Regnskapsprinsipp</t>
  </si>
  <si>
    <t>Anskaffelseskost 01.01</t>
  </si>
  <si>
    <t>Årets tilgang</t>
  </si>
  <si>
    <t>Årets avgang</t>
  </si>
  <si>
    <t>Akkumulerte avskrivninger 31.12</t>
  </si>
  <si>
    <t>Bokført verdi pr 31.12</t>
  </si>
  <si>
    <t>Note 3:</t>
  </si>
  <si>
    <t>Obligatorisk tjenestepensjon</t>
  </si>
  <si>
    <t>Årets resultat</t>
  </si>
  <si>
    <t>Endring i egenkapital</t>
  </si>
  <si>
    <t>Årsregnskapet er satt opp i samsvar med regnskapsloven, jfr også 
Følgende regnskapsprinsipper er anvendt:</t>
  </si>
  <si>
    <t>Honoraret knytter seg i sin helhet til revisjonstjenester</t>
  </si>
  <si>
    <t>Vedlikeholdsfond</t>
  </si>
  <si>
    <t>Overført fra annen egenkapital</t>
  </si>
  <si>
    <t>Idrettslaget har tegnet OTP etter lov om obligatorisk tjenestepensjon</t>
  </si>
  <si>
    <t xml:space="preserve">Årets avskrivninger </t>
  </si>
  <si>
    <t>Råvarer</t>
  </si>
  <si>
    <t>Varer under tilvirkning</t>
  </si>
  <si>
    <t>Ferdigvarer</t>
  </si>
  <si>
    <t>Sum</t>
  </si>
  <si>
    <t>Varer</t>
  </si>
  <si>
    <t xml:space="preserve">Fordringer </t>
  </si>
  <si>
    <t>Kundefordringer</t>
  </si>
  <si>
    <t>Andre fordringer</t>
  </si>
  <si>
    <t>Lån til foretak i samme konsern</t>
  </si>
  <si>
    <t>Gjeld med forfall senere enn 1 år fra</t>
  </si>
  <si>
    <t>balansedagen</t>
  </si>
  <si>
    <t>____________________</t>
  </si>
  <si>
    <t xml:space="preserve">styreleder </t>
  </si>
  <si>
    <t xml:space="preserve">Marianne Fjelberg </t>
  </si>
  <si>
    <t xml:space="preserve">styremedlem </t>
  </si>
  <si>
    <t xml:space="preserve">daglig leder </t>
  </si>
  <si>
    <t xml:space="preserve">Treningskontingenter </t>
  </si>
  <si>
    <t>Note 2:</t>
  </si>
  <si>
    <t xml:space="preserve">Tilskudd </t>
  </si>
  <si>
    <t>Fra</t>
  </si>
  <si>
    <t>Beløp</t>
  </si>
  <si>
    <t xml:space="preserve">Betingelser knyttet til tilskuddet </t>
  </si>
  <si>
    <t>benyttes i tråd med tilsagnet</t>
  </si>
  <si>
    <t>Note 6:</t>
  </si>
  <si>
    <t>Note 7:</t>
  </si>
  <si>
    <t>Note 8:</t>
  </si>
  <si>
    <t xml:space="preserve">Skattemessig aktivitet </t>
  </si>
  <si>
    <t xml:space="preserve">Norges Idrettsforbunds regnskaps og revisjonsbestemmelser og god regnskapsskikk </t>
  </si>
  <si>
    <t xml:space="preserve">for små foretak. </t>
  </si>
  <si>
    <t xml:space="preserve">Medlems- og treningskontingenter er en vesentlig post i regnskapet og </t>
  </si>
  <si>
    <t xml:space="preserve">kontantprinsippet er lagt til grunn ved inntektsføringen i regnskapet </t>
  </si>
  <si>
    <t>Tilskudd er en vesentlig post i regnskapet og det er mottatt følgende tilskudd</t>
  </si>
  <si>
    <t xml:space="preserve">Det er ikke avtaler om sluttvederlag eller bonuser til idrettslagets ansatte og </t>
  </si>
  <si>
    <t xml:space="preserve">tillitsvalgte. </t>
  </si>
  <si>
    <t>Det er heller ikke ytet lån eller sikkerhetsstillelser til idrettslagets ansatte og</t>
  </si>
  <si>
    <t xml:space="preserve">Varer er vurdert til det laveste av gjennomsnittlig anskaffelseskost og netto </t>
  </si>
  <si>
    <t xml:space="preserve">salgsverdi.  </t>
  </si>
  <si>
    <t xml:space="preserve">Idrettslaget har ikke hatt inntekter og/eller kostnader tilknyttet skattemessig </t>
  </si>
  <si>
    <t xml:space="preserve">Note 5:    </t>
  </si>
  <si>
    <t>Note 4:</t>
  </si>
  <si>
    <t>Øvrige inntekter og andre driftskostnader</t>
  </si>
  <si>
    <t>I posten øvrige inntekter inngår inntekter fra loddsalg,bingo,kiosksalg,grasrotandel,</t>
  </si>
  <si>
    <t>Note 9:</t>
  </si>
  <si>
    <t xml:space="preserve">Note 10: </t>
  </si>
  <si>
    <t>Note 11:</t>
  </si>
  <si>
    <t xml:space="preserve">I posten andre driftskostnader inngår kostnader vedrørende leie lokaler, renhold, </t>
  </si>
  <si>
    <t>strøm, innkjøp utstyr og annet materiellinnkjøp bl.a.</t>
  </si>
  <si>
    <t xml:space="preserve">Overføringer </t>
  </si>
  <si>
    <t>Kunstgress-</t>
  </si>
  <si>
    <t>bane</t>
  </si>
  <si>
    <t>Skattetrekk</t>
  </si>
  <si>
    <t xml:space="preserve">Skattetrekksgjeld </t>
  </si>
  <si>
    <t>Lønnskostnader inkl. sosiale kostnader spesifisert og revisjon</t>
  </si>
  <si>
    <t>SUM</t>
  </si>
  <si>
    <t>Lønninger</t>
  </si>
  <si>
    <t>Folketrygdavgift</t>
  </si>
  <si>
    <t>Pensjonskostnader</t>
  </si>
  <si>
    <t>Andre ytelser</t>
  </si>
  <si>
    <t>Ole Christen Reistad</t>
  </si>
  <si>
    <t>Jens Erik Gade</t>
  </si>
  <si>
    <t xml:space="preserve">Overført til annen egenkapital </t>
  </si>
  <si>
    <t>Opparbeidelse snøproduksjon</t>
  </si>
  <si>
    <t>skileik/skiskole/fotballskole/akademi</t>
  </si>
  <si>
    <t>Kiosksalg</t>
  </si>
  <si>
    <t xml:space="preserve">Inntekter </t>
  </si>
  <si>
    <t>Snøproduksjon</t>
  </si>
  <si>
    <t xml:space="preserve">Pumper </t>
  </si>
  <si>
    <t xml:space="preserve">Lysmast </t>
  </si>
  <si>
    <t>Anskaffelseskost 31.12</t>
  </si>
  <si>
    <t>Bærum kommune/NIF</t>
  </si>
  <si>
    <t>Kunstgressbane</t>
  </si>
  <si>
    <t>Lommedalens Idrettslag Regnskap 2019</t>
  </si>
  <si>
    <t xml:space="preserve">Finansinntekter </t>
  </si>
  <si>
    <t>Opparbeidelse snø og lys parktrasê</t>
  </si>
  <si>
    <t>Pantestillelser pr 31.12.19</t>
  </si>
  <si>
    <t>Snø og lys</t>
  </si>
  <si>
    <t xml:space="preserve">parktrasê </t>
  </si>
  <si>
    <t xml:space="preserve">Lån prosjekter </t>
  </si>
  <si>
    <t xml:space="preserve">Driftsmidler </t>
  </si>
  <si>
    <t xml:space="preserve">Lommedalen, </t>
  </si>
  <si>
    <t>nestleder</t>
  </si>
  <si>
    <t>Eirik Næsheim Lundblad</t>
  </si>
  <si>
    <t xml:space="preserve">Cecilie Amundsen Heavens </t>
  </si>
  <si>
    <t>Tonje Stabell Lund</t>
  </si>
  <si>
    <t>Noter til Lommedalens Idrettslag regnskap 2019</t>
  </si>
  <si>
    <t xml:space="preserve"> i 2019</t>
  </si>
  <si>
    <t>sponsor og gaver samt inntekter tilknyttet VBIF fra før 1/5/2019</t>
  </si>
  <si>
    <t>Det er innberettet lønn med kr 492.173 for daglig leder i 2019.</t>
  </si>
  <si>
    <t xml:space="preserve">Antall årsverk 2019 er 12 </t>
  </si>
  <si>
    <t xml:space="preserve">Det er i 2019 kostnadsført kr. 79.375 inkl mva som revisjonshonorar.  </t>
  </si>
  <si>
    <t>Av idrettslagets bankbeholdning er følgende bundet pr 31.12.19:</t>
  </si>
  <si>
    <t>er oppgjort ved forfall i 2020</t>
  </si>
  <si>
    <t>EK  01.01.2019</t>
  </si>
  <si>
    <t xml:space="preserve">Kapitalinnskudd </t>
  </si>
  <si>
    <t>Egenkapital pr 31.12.2019</t>
  </si>
  <si>
    <t>aktivitet i 2019</t>
  </si>
  <si>
    <t>2,3,4,11</t>
  </si>
  <si>
    <t xml:space="preserve">Irene Jansson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</si>
</sst>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kr&quot;\ * #,##0_-;\-&quot;kr&quot;\ * #,##0_-;_-&quot;kr&quot;\ * &quot;-&quot;_-;_-@_-"/>
    <numFmt numFmtId="41" formatCode="_-* #,##0_-;\-* #,##0_-;_-* &quot;-&quot;_-;_-@_-"/>
    <numFmt numFmtId="164" formatCode="_ &quot;kr&quot;\ * #,##0_ ;_ &quot;kr&quot;\ * \-#,##0_ ;_ &quot;kr&quot;\ * &quot;-&quot;_ ;_ @_ "/>
    <numFmt numFmtId="165" formatCode="_ * #,##0_ ;_ * \-#,##0_ ;_ * &quot;-&quot;_ ;_ @_ "/>
  </numFmts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" fontId="6" fillId="0" borderId="0"/>
    <xf numFmtId="0" fontId="3" fillId="0" borderId="0"/>
  </cellStyleXfs>
  <cellXfs count="59">
    <xf numFmtId="0" fontId="0" fillId="0" borderId="0" xfId="0"/>
    <xf numFmtId="3" fontId="0" fillId="0" borderId="0" xfId="0" applyNumberForma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8" fillId="0" borderId="0" xfId="0" applyFont="1"/>
    <xf numFmtId="0" fontId="9" fillId="0" borderId="0" xfId="0" applyFont="1"/>
    <xf numFmtId="3" fontId="9" fillId="0" borderId="0" xfId="0" applyNumberFormat="1" applyFont="1"/>
    <xf numFmtId="3" fontId="8" fillId="0" borderId="0" xfId="0" applyNumberFormat="1" applyFont="1"/>
    <xf numFmtId="0" fontId="0" fillId="2" borderId="0" xfId="0" applyFill="1"/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3" fontId="7" fillId="0" borderId="0" xfId="1" applyFont="1" applyProtection="1">
      <protection locked="0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3" fontId="1" fillId="0" borderId="0" xfId="0" applyNumberFormat="1" applyFont="1"/>
    <xf numFmtId="3" fontId="11" fillId="0" borderId="0" xfId="1" applyFont="1" applyProtection="1">
      <protection locked="0"/>
    </xf>
    <xf numFmtId="3" fontId="3" fillId="0" borderId="0" xfId="0" applyNumberFormat="1" applyFont="1"/>
    <xf numFmtId="3" fontId="3" fillId="0" borderId="1" xfId="0" applyNumberFormat="1" applyFont="1" applyBorder="1"/>
    <xf numFmtId="0" fontId="7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7" fillId="0" borderId="0" xfId="0" applyFont="1" applyAlignment="1">
      <alignment vertical="center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165" fontId="0" fillId="0" borderId="1" xfId="0" applyNumberFormat="1" applyBorder="1"/>
    <xf numFmtId="0" fontId="3" fillId="0" borderId="2" xfId="0" applyFont="1" applyBorder="1"/>
    <xf numFmtId="164" fontId="0" fillId="0" borderId="0" xfId="0" applyNumberFormat="1"/>
    <xf numFmtId="164" fontId="11" fillId="0" borderId="0" xfId="0" applyNumberFormat="1" applyFont="1" applyAlignment="1">
      <alignment vertical="center"/>
    </xf>
    <xf numFmtId="164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165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42" fontId="0" fillId="0" borderId="0" xfId="0" applyNumberFormat="1"/>
    <xf numFmtId="41" fontId="3" fillId="0" borderId="0" xfId="0" applyNumberFormat="1" applyFont="1" applyAlignment="1">
      <alignment horizontal="center"/>
    </xf>
    <xf numFmtId="0" fontId="11" fillId="3" borderId="0" xfId="0" applyFont="1" applyFill="1" applyAlignment="1">
      <alignment vertical="center"/>
    </xf>
    <xf numFmtId="3" fontId="9" fillId="3" borderId="0" xfId="0" applyNumberFormat="1" applyFont="1" applyFill="1"/>
    <xf numFmtId="0" fontId="0" fillId="3" borderId="0" xfId="0" applyFill="1"/>
    <xf numFmtId="0" fontId="3" fillId="0" borderId="3" xfId="0" applyFont="1" applyBorder="1"/>
    <xf numFmtId="165" fontId="0" fillId="3" borderId="3" xfId="0" applyNumberFormat="1" applyFill="1" applyBorder="1"/>
    <xf numFmtId="165" fontId="3" fillId="3" borderId="3" xfId="0" applyNumberFormat="1" applyFont="1" applyFill="1" applyBorder="1"/>
    <xf numFmtId="165" fontId="3" fillId="0" borderId="0" xfId="0" applyNumberFormat="1" applyFont="1"/>
    <xf numFmtId="0" fontId="3" fillId="0" borderId="0" xfId="0" applyFont="1" applyBorder="1"/>
    <xf numFmtId="165" fontId="3" fillId="3" borderId="0" xfId="0" applyNumberFormat="1" applyFont="1" applyFill="1" applyBorder="1"/>
    <xf numFmtId="0" fontId="0" fillId="0" borderId="0" xfId="0" applyAlignment="1">
      <alignment horizontal="left"/>
    </xf>
    <xf numFmtId="3" fontId="3" fillId="0" borderId="0" xfId="0" applyNumberFormat="1" applyFont="1" applyBorder="1"/>
    <xf numFmtId="165" fontId="0" fillId="0" borderId="0" xfId="0" applyNumberFormat="1" applyBorder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3" fontId="3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49" fontId="10" fillId="0" borderId="0" xfId="0" applyNumberFormat="1" applyFont="1" applyAlignment="1" applyProtection="1">
      <alignment horizontal="left" vertical="top" wrapText="1"/>
      <protection locked="0"/>
    </xf>
  </cellXfs>
  <cellStyles count="3">
    <cellStyle name="Normal" xfId="0" builtinId="0"/>
    <cellStyle name="Normal 2" xfId="2" xr:uid="{00000000-0005-0000-0000-000001000000}"/>
    <cellStyle name="Normal_konsernnoter 0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1295400</xdr:colOff>
      <xdr:row>0</xdr:row>
      <xdr:rowOff>104775</xdr:rowOff>
    </xdr:from>
    <xdr:to>
      <xdr:col>3</xdr:col>
      <xdr:colOff>390525</xdr:colOff>
      <xdr:row>6</xdr:row>
      <xdr:rowOff>72390</xdr:rowOff>
    </xdr:to>
    <xdr:pic>
      <xdr:nvPicPr>
        <xdr:cNvPr id="2" name="Picture 3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0" y="104775"/>
          <a:ext cx="1657350" cy="939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1295400</xdr:colOff>
      <xdr:row>0</xdr:row>
      <xdr:rowOff>104775</xdr:rowOff>
    </xdr:from>
    <xdr:to>
      <xdr:col>3</xdr:col>
      <xdr:colOff>390525</xdr:colOff>
      <xdr:row>6</xdr:row>
      <xdr:rowOff>72390</xdr:rowOff>
    </xdr:to>
    <xdr:pic>
      <xdr:nvPicPr>
        <xdr:cNvPr id="3" name="Picture 3" descr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20240" y="104775"/>
          <a:ext cx="1731645" cy="973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0</xdr:row>
      <xdr:rowOff>85725</xdr:rowOff>
    </xdr:from>
    <xdr:to>
      <xdr:col>4</xdr:col>
      <xdr:colOff>190500</xdr:colOff>
      <xdr:row>7</xdr:row>
      <xdr:rowOff>53340</xdr:rowOff>
    </xdr:to>
    <xdr:pic>
      <xdr:nvPicPr>
        <xdr:cNvPr id="3" name="Picture 3" descr="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43150" y="85725"/>
          <a:ext cx="1657350" cy="939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61</xdr:row>
      <xdr:rowOff>19050</xdr:rowOff>
    </xdr:from>
    <xdr:to>
      <xdr:col>7</xdr:col>
      <xdr:colOff>685800</xdr:colOff>
      <xdr:row>80</xdr:row>
      <xdr:rowOff>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933450" y="9677400"/>
          <a:ext cx="5762625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1200150</xdr:colOff>
      <xdr:row>0</xdr:row>
      <xdr:rowOff>0</xdr:rowOff>
    </xdr:from>
    <xdr:to>
      <xdr:col>1</xdr:col>
      <xdr:colOff>2857500</xdr:colOff>
      <xdr:row>0</xdr:row>
      <xdr:rowOff>24765</xdr:rowOff>
    </xdr:to>
    <xdr:pic>
      <xdr:nvPicPr>
        <xdr:cNvPr id="2" name="Picture 3" descr="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0" y="57150"/>
          <a:ext cx="1657350" cy="939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I96"/>
  <sheetViews>
    <sheetView topLeftCell="A19" workbookViewId="0">
      <selection activeCell="D15" sqref="D15:D45"/>
    </sheetView>
  </sheetViews>
  <sheetFormatPr baseColWidth="10" defaultColWidth="9.140625" defaultRowHeight="12.75" x14ac:dyDescent="0.2"/>
  <cols>
    <col min="2" max="2" width="33.28515625" bestFit="1" customWidth="1"/>
    <col min="3" max="3" width="8.28515625" bestFit="1" customWidth="1"/>
    <col min="4" max="5" width="10.7109375" customWidth="1"/>
    <col min="6" max="6" width="4.140625" customWidth="1"/>
    <col min="7" max="7" width="0" hidden="1" customWidth="1"/>
  </cols>
  <sheetData>
    <row r="9" spans="1:9" ht="18" x14ac:dyDescent="0.25">
      <c r="A9" s="37" t="s">
        <v>133</v>
      </c>
      <c r="B9" s="36"/>
      <c r="C9" s="36"/>
      <c r="D9" s="36"/>
      <c r="E9" s="36"/>
      <c r="F9" s="36"/>
      <c r="G9" s="36"/>
      <c r="H9" s="36"/>
      <c r="I9" s="5"/>
    </row>
    <row r="10" spans="1:9" x14ac:dyDescent="0.2">
      <c r="A10" s="10"/>
      <c r="B10" s="10"/>
      <c r="C10" s="10"/>
      <c r="D10" s="10"/>
      <c r="E10" s="10"/>
      <c r="F10" s="10"/>
      <c r="G10" s="10"/>
      <c r="H10" s="10"/>
    </row>
    <row r="11" spans="1:9" ht="15.75" x14ac:dyDescent="0.25">
      <c r="A11" s="11" t="s">
        <v>39</v>
      </c>
      <c r="B11" s="11"/>
      <c r="C11" s="11"/>
      <c r="D11" s="11"/>
      <c r="E11" s="10"/>
      <c r="F11" s="10"/>
      <c r="G11" s="10"/>
      <c r="H11" s="10"/>
    </row>
    <row r="12" spans="1:9" x14ac:dyDescent="0.2">
      <c r="A12" s="10"/>
      <c r="B12" s="10"/>
      <c r="C12" s="12" t="s">
        <v>42</v>
      </c>
      <c r="D12" s="12">
        <v>2019</v>
      </c>
      <c r="E12" s="13">
        <v>2018</v>
      </c>
      <c r="F12" s="13"/>
      <c r="G12" s="13">
        <v>2007</v>
      </c>
      <c r="H12" s="10"/>
    </row>
    <row r="13" spans="1:9" x14ac:dyDescent="0.2">
      <c r="B13" s="2" t="s">
        <v>0</v>
      </c>
      <c r="C13" s="14"/>
      <c r="D13" s="2"/>
    </row>
    <row r="14" spans="1:9" x14ac:dyDescent="0.2">
      <c r="C14" s="14"/>
      <c r="D14" s="14"/>
    </row>
    <row r="15" spans="1:9" x14ac:dyDescent="0.2">
      <c r="B15" t="s">
        <v>1</v>
      </c>
      <c r="C15" s="14"/>
      <c r="D15" s="1">
        <v>471870.46</v>
      </c>
      <c r="E15" s="1">
        <v>474677</v>
      </c>
      <c r="F15" s="1"/>
      <c r="G15" s="1">
        <v>183626</v>
      </c>
    </row>
    <row r="16" spans="1:9" x14ac:dyDescent="0.2">
      <c r="B16" s="3" t="s">
        <v>78</v>
      </c>
      <c r="C16" s="14"/>
      <c r="D16" s="1">
        <v>3422243.52</v>
      </c>
      <c r="E16" s="1">
        <v>2831620</v>
      </c>
      <c r="F16" s="1"/>
      <c r="G16" s="1"/>
    </row>
    <row r="17" spans="2:7" x14ac:dyDescent="0.2">
      <c r="B17" s="3" t="s">
        <v>124</v>
      </c>
      <c r="C17" s="14"/>
      <c r="D17" s="1">
        <v>2947285</v>
      </c>
      <c r="E17" s="1">
        <v>2477894</v>
      </c>
      <c r="F17" s="1"/>
      <c r="G17" s="1"/>
    </row>
    <row r="18" spans="2:7" x14ac:dyDescent="0.2">
      <c r="B18" t="s">
        <v>2</v>
      </c>
      <c r="C18" s="14"/>
      <c r="D18" s="1">
        <v>269910.06</v>
      </c>
      <c r="E18" s="1">
        <v>280249</v>
      </c>
      <c r="F18" s="1"/>
      <c r="G18" s="1">
        <v>99295</v>
      </c>
    </row>
    <row r="19" spans="2:7" x14ac:dyDescent="0.2">
      <c r="B19" t="s">
        <v>125</v>
      </c>
      <c r="C19" s="14"/>
      <c r="D19" s="1">
        <f>500765+469791.08</f>
        <v>970556.08000000007</v>
      </c>
      <c r="E19" s="1">
        <v>1049072</v>
      </c>
      <c r="F19" s="1"/>
      <c r="G19" s="1"/>
    </row>
    <row r="20" spans="2:7" x14ac:dyDescent="0.2">
      <c r="B20" t="s">
        <v>3</v>
      </c>
      <c r="C20" s="14"/>
      <c r="D20" s="1">
        <f>35000+940228.8+554258+761720+186679+709056</f>
        <v>3186941.8</v>
      </c>
      <c r="E20" s="1">
        <v>2200948</v>
      </c>
      <c r="F20" s="1"/>
      <c r="G20" s="1">
        <v>695303</v>
      </c>
    </row>
    <row r="21" spans="2:7" x14ac:dyDescent="0.2">
      <c r="B21" t="s">
        <v>5</v>
      </c>
      <c r="C21" s="14"/>
      <c r="D21" s="1">
        <f>2243887.53+55714.35</f>
        <v>2299601.88</v>
      </c>
      <c r="E21" s="1">
        <v>2464721</v>
      </c>
      <c r="F21" s="1"/>
      <c r="G21" s="1">
        <v>1331312</v>
      </c>
    </row>
    <row r="22" spans="2:7" x14ac:dyDescent="0.2">
      <c r="B22" t="s">
        <v>6</v>
      </c>
      <c r="C22" s="14"/>
      <c r="D22" s="1">
        <v>4580095</v>
      </c>
      <c r="E22" s="1">
        <v>3531783</v>
      </c>
      <c r="F22" s="1"/>
      <c r="G22" s="1">
        <f>4261115-2450195</f>
        <v>1810920</v>
      </c>
    </row>
    <row r="23" spans="2:7" x14ac:dyDescent="0.2">
      <c r="C23" s="14"/>
      <c r="D23" s="1"/>
      <c r="E23" s="1"/>
      <c r="F23" s="1"/>
      <c r="G23" s="1"/>
    </row>
    <row r="24" spans="2:7" x14ac:dyDescent="0.2">
      <c r="B24" s="7" t="s">
        <v>21</v>
      </c>
      <c r="C24" s="17" t="s">
        <v>158</v>
      </c>
      <c r="D24" s="8">
        <f>SUM(D14:D23)</f>
        <v>18148503.800000001</v>
      </c>
      <c r="E24" s="8">
        <f>SUM(E15:E23)</f>
        <v>15310964</v>
      </c>
      <c r="F24" s="8"/>
      <c r="G24" s="8">
        <f>SUM(G14:G23)</f>
        <v>4120456</v>
      </c>
    </row>
    <row r="25" spans="2:7" x14ac:dyDescent="0.2">
      <c r="C25" s="14"/>
      <c r="D25" s="1"/>
      <c r="E25" s="1"/>
      <c r="F25" s="1"/>
      <c r="G25" s="1"/>
    </row>
    <row r="26" spans="2:7" x14ac:dyDescent="0.2">
      <c r="B26" s="2" t="s">
        <v>4</v>
      </c>
      <c r="C26" s="14"/>
      <c r="D26" s="1"/>
      <c r="E26" s="1"/>
      <c r="F26" s="1"/>
      <c r="G26" s="1"/>
    </row>
    <row r="27" spans="2:7" x14ac:dyDescent="0.2">
      <c r="C27" s="14"/>
      <c r="D27" s="1"/>
      <c r="E27" s="1"/>
      <c r="F27" s="1"/>
      <c r="G27" s="1"/>
    </row>
    <row r="28" spans="2:7" x14ac:dyDescent="0.2">
      <c r="B28" t="s">
        <v>7</v>
      </c>
      <c r="C28" s="14">
        <v>9</v>
      </c>
      <c r="D28" s="1">
        <v>356003</v>
      </c>
      <c r="E28" s="1">
        <v>455713</v>
      </c>
      <c r="F28" s="1"/>
      <c r="G28" s="1">
        <v>102244</v>
      </c>
    </row>
    <row r="29" spans="2:7" x14ac:dyDescent="0.2">
      <c r="B29" t="s">
        <v>8</v>
      </c>
      <c r="C29" s="14">
        <v>5</v>
      </c>
      <c r="D29" s="1">
        <v>6692273</v>
      </c>
      <c r="E29" s="1">
        <v>5169061</v>
      </c>
      <c r="F29" s="1"/>
      <c r="G29" s="1">
        <v>1010437</v>
      </c>
    </row>
    <row r="30" spans="2:7" x14ac:dyDescent="0.2">
      <c r="B30" t="s">
        <v>9</v>
      </c>
      <c r="C30" s="14">
        <v>6</v>
      </c>
      <c r="D30" s="1">
        <v>297449</v>
      </c>
      <c r="E30" s="1">
        <v>360293</v>
      </c>
      <c r="F30" s="1"/>
      <c r="G30" s="1">
        <f>206340+41041</f>
        <v>247381</v>
      </c>
    </row>
    <row r="31" spans="2:7" x14ac:dyDescent="0.2">
      <c r="B31" t="s">
        <v>14</v>
      </c>
      <c r="C31" s="14">
        <v>4</v>
      </c>
      <c r="D31" s="1">
        <v>11096524.9</v>
      </c>
      <c r="E31" s="1">
        <v>8805875</v>
      </c>
      <c r="F31" s="1"/>
      <c r="G31" s="1">
        <f>4492199-G30-G29-G28-1</f>
        <v>3132136</v>
      </c>
    </row>
    <row r="32" spans="2:7" x14ac:dyDescent="0.2">
      <c r="C32" s="14"/>
      <c r="D32" s="1"/>
      <c r="E32" s="1"/>
      <c r="F32" s="1"/>
      <c r="G32" s="1"/>
    </row>
    <row r="33" spans="2:7" x14ac:dyDescent="0.2">
      <c r="B33" s="7" t="s">
        <v>22</v>
      </c>
      <c r="C33" s="17"/>
      <c r="D33" s="8">
        <f>SUM(D28:D32)</f>
        <v>18442249.899999999</v>
      </c>
      <c r="E33" s="8">
        <f>SUM(E28:E32)</f>
        <v>14790942</v>
      </c>
      <c r="F33" s="8"/>
      <c r="G33" s="8">
        <f>SUM(G28:G32)</f>
        <v>4492198</v>
      </c>
    </row>
    <row r="34" spans="2:7" x14ac:dyDescent="0.2">
      <c r="C34" s="14"/>
      <c r="D34" s="1"/>
      <c r="E34" s="1"/>
      <c r="F34" s="1"/>
      <c r="G34" s="1"/>
    </row>
    <row r="35" spans="2:7" x14ac:dyDescent="0.2">
      <c r="B35" s="7" t="s">
        <v>10</v>
      </c>
      <c r="C35" s="17"/>
      <c r="D35" s="8">
        <f>+D24-D33</f>
        <v>-293746.09999999776</v>
      </c>
      <c r="E35" s="8">
        <f>+E24-E33</f>
        <v>520022</v>
      </c>
      <c r="F35" s="8"/>
      <c r="G35" s="8">
        <f>+G24-G33</f>
        <v>-371742</v>
      </c>
    </row>
    <row r="36" spans="2:7" x14ac:dyDescent="0.2">
      <c r="C36" s="14"/>
      <c r="D36" s="1"/>
      <c r="E36" s="1"/>
      <c r="F36" s="1"/>
      <c r="G36" s="1"/>
    </row>
    <row r="37" spans="2:7" x14ac:dyDescent="0.2">
      <c r="B37" s="2" t="s">
        <v>11</v>
      </c>
      <c r="C37" s="14"/>
      <c r="D37" s="1"/>
      <c r="E37" s="1"/>
      <c r="F37" s="1"/>
      <c r="G37" s="1"/>
    </row>
    <row r="38" spans="2:7" x14ac:dyDescent="0.2">
      <c r="C38" s="14"/>
      <c r="D38" s="1"/>
      <c r="E38" s="1"/>
      <c r="F38" s="1"/>
      <c r="G38" s="1"/>
    </row>
    <row r="39" spans="2:7" x14ac:dyDescent="0.2">
      <c r="B39" s="3" t="s">
        <v>134</v>
      </c>
      <c r="C39" s="14"/>
      <c r="D39" s="1">
        <f>9039+4292</f>
        <v>13331</v>
      </c>
      <c r="E39" s="1">
        <v>89064</v>
      </c>
      <c r="F39" s="1"/>
      <c r="G39" s="1">
        <v>55684</v>
      </c>
    </row>
    <row r="40" spans="2:7" x14ac:dyDescent="0.2">
      <c r="B40" t="s">
        <v>12</v>
      </c>
      <c r="C40" s="14"/>
      <c r="D40" s="1">
        <v>302085</v>
      </c>
      <c r="E40" s="1">
        <v>177253</v>
      </c>
      <c r="F40" s="1"/>
      <c r="G40" s="1">
        <f>24054+1076</f>
        <v>25130</v>
      </c>
    </row>
    <row r="41" spans="2:7" x14ac:dyDescent="0.2">
      <c r="C41" s="14"/>
      <c r="D41" s="1"/>
      <c r="E41" s="1"/>
      <c r="F41" s="1"/>
      <c r="G41" s="1"/>
    </row>
    <row r="42" spans="2:7" x14ac:dyDescent="0.2">
      <c r="B42" s="7" t="s">
        <v>38</v>
      </c>
      <c r="C42" s="17"/>
      <c r="D42" s="8">
        <f>+D39-D40</f>
        <v>-288754</v>
      </c>
      <c r="E42" s="8">
        <f>+E39-E40</f>
        <v>-88189</v>
      </c>
      <c r="F42" s="8"/>
      <c r="G42" s="8">
        <f>+G39-G40</f>
        <v>30554</v>
      </c>
    </row>
    <row r="43" spans="2:7" x14ac:dyDescent="0.2">
      <c r="B43" s="7"/>
      <c r="C43" s="17"/>
      <c r="D43" s="8"/>
      <c r="E43" s="8"/>
      <c r="F43" s="8"/>
      <c r="G43" s="8"/>
    </row>
    <row r="44" spans="2:7" x14ac:dyDescent="0.2">
      <c r="B44" t="s">
        <v>109</v>
      </c>
      <c r="C44" s="14"/>
      <c r="D44" s="1"/>
      <c r="E44" s="1"/>
      <c r="F44" s="1"/>
      <c r="G44" s="1"/>
    </row>
    <row r="45" spans="2:7" x14ac:dyDescent="0.2">
      <c r="B45" s="7" t="s">
        <v>13</v>
      </c>
      <c r="C45" s="17"/>
      <c r="D45" s="8">
        <f>+D35+D42</f>
        <v>-582500.09999999776</v>
      </c>
      <c r="E45" s="8">
        <f>+E35+E42</f>
        <v>431833</v>
      </c>
      <c r="F45" s="8"/>
      <c r="G45" s="8">
        <f>+G35+G42</f>
        <v>-341188</v>
      </c>
    </row>
    <row r="46" spans="2:7" x14ac:dyDescent="0.2">
      <c r="C46" s="14"/>
      <c r="D46" s="1"/>
      <c r="E46" s="1"/>
      <c r="F46" s="1"/>
      <c r="G46" s="1"/>
    </row>
    <row r="47" spans="2:7" x14ac:dyDescent="0.2">
      <c r="C47" s="14"/>
      <c r="D47" s="1"/>
      <c r="E47" s="1"/>
      <c r="F47" s="1"/>
      <c r="G47" s="1"/>
    </row>
    <row r="48" spans="2:7" x14ac:dyDescent="0.2">
      <c r="B48" s="2" t="s">
        <v>41</v>
      </c>
      <c r="C48" s="14"/>
      <c r="D48" s="1"/>
      <c r="E48" s="1"/>
      <c r="F48" s="1"/>
      <c r="G48" s="1"/>
    </row>
    <row r="49" spans="2:7" x14ac:dyDescent="0.2">
      <c r="C49" s="14"/>
      <c r="D49" s="1"/>
      <c r="E49" s="1"/>
      <c r="F49" s="1"/>
      <c r="G49" s="1"/>
    </row>
    <row r="50" spans="2:7" x14ac:dyDescent="0.2">
      <c r="B50" s="3" t="s">
        <v>59</v>
      </c>
      <c r="C50" s="14"/>
      <c r="D50" s="1">
        <v>582500</v>
      </c>
      <c r="E50" s="1"/>
      <c r="F50" s="1"/>
      <c r="G50" s="1">
        <f>+G45</f>
        <v>-341188</v>
      </c>
    </row>
    <row r="51" spans="2:7" x14ac:dyDescent="0.2">
      <c r="B51" s="3" t="s">
        <v>122</v>
      </c>
      <c r="C51" s="4"/>
      <c r="D51" s="28">
        <v>0</v>
      </c>
      <c r="E51" s="1">
        <v>431832</v>
      </c>
      <c r="F51" s="1"/>
      <c r="G51" s="1"/>
    </row>
    <row r="52" spans="2:7" x14ac:dyDescent="0.2">
      <c r="D52" s="1">
        <f>D50+D51</f>
        <v>582500</v>
      </c>
      <c r="E52" s="1">
        <f>E50+E51</f>
        <v>431832</v>
      </c>
      <c r="F52" s="1"/>
      <c r="G52" s="1"/>
    </row>
    <row r="53" spans="2:7" x14ac:dyDescent="0.2">
      <c r="E53" s="1"/>
      <c r="F53" s="1"/>
      <c r="G53" s="1"/>
    </row>
    <row r="54" spans="2:7" x14ac:dyDescent="0.2">
      <c r="E54" s="1"/>
      <c r="F54" s="1"/>
      <c r="G54" s="1"/>
    </row>
    <row r="55" spans="2:7" x14ac:dyDescent="0.2">
      <c r="E55" s="1"/>
      <c r="F55" s="1"/>
      <c r="G55" s="1"/>
    </row>
    <row r="56" spans="2:7" x14ac:dyDescent="0.2">
      <c r="E56" s="1"/>
      <c r="F56" s="1"/>
      <c r="G56" s="1"/>
    </row>
    <row r="57" spans="2:7" x14ac:dyDescent="0.2">
      <c r="E57" s="1"/>
      <c r="F57" s="1"/>
      <c r="G57" s="1"/>
    </row>
    <row r="58" spans="2:7" x14ac:dyDescent="0.2">
      <c r="E58" s="1"/>
      <c r="F58" s="1"/>
      <c r="G58" s="1"/>
    </row>
    <row r="59" spans="2:7" x14ac:dyDescent="0.2">
      <c r="E59" s="1"/>
      <c r="F59" s="1"/>
      <c r="G59" s="1"/>
    </row>
    <row r="60" spans="2:7" x14ac:dyDescent="0.2">
      <c r="E60" s="1"/>
      <c r="F60" s="1"/>
      <c r="G60" s="1"/>
    </row>
    <row r="61" spans="2:7" x14ac:dyDescent="0.2">
      <c r="E61" s="1"/>
      <c r="F61" s="1"/>
      <c r="G61" s="1"/>
    </row>
    <row r="62" spans="2:7" x14ac:dyDescent="0.2">
      <c r="E62" s="1"/>
      <c r="F62" s="1"/>
      <c r="G62" s="1"/>
    </row>
    <row r="63" spans="2:7" x14ac:dyDescent="0.2">
      <c r="E63" s="1"/>
      <c r="F63" s="1"/>
      <c r="G63" s="1"/>
    </row>
    <row r="64" spans="2:7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  <row r="70" spans="5:7" x14ac:dyDescent="0.2">
      <c r="E70" s="1"/>
      <c r="F70" s="1"/>
      <c r="G70" s="1"/>
    </row>
    <row r="71" spans="5:7" x14ac:dyDescent="0.2">
      <c r="E71" s="1"/>
      <c r="F71" s="1"/>
      <c r="G71" s="1"/>
    </row>
    <row r="72" spans="5:7" x14ac:dyDescent="0.2">
      <c r="E72" s="1"/>
      <c r="F72" s="1"/>
      <c r="G72" s="1"/>
    </row>
    <row r="73" spans="5:7" x14ac:dyDescent="0.2">
      <c r="E73" s="1"/>
      <c r="F73" s="1"/>
      <c r="G73" s="1"/>
    </row>
    <row r="74" spans="5:7" x14ac:dyDescent="0.2">
      <c r="E74" s="1"/>
      <c r="F74" s="1"/>
      <c r="G74" s="1"/>
    </row>
    <row r="75" spans="5:7" x14ac:dyDescent="0.2">
      <c r="E75" s="1"/>
      <c r="F75" s="1"/>
      <c r="G75" s="1"/>
    </row>
    <row r="76" spans="5:7" x14ac:dyDescent="0.2">
      <c r="E76" s="1"/>
      <c r="F76" s="1"/>
      <c r="G76" s="1"/>
    </row>
    <row r="77" spans="5:7" x14ac:dyDescent="0.2">
      <c r="E77" s="1"/>
      <c r="F77" s="1"/>
      <c r="G77" s="1"/>
    </row>
    <row r="78" spans="5:7" x14ac:dyDescent="0.2">
      <c r="E78" s="1"/>
      <c r="F78" s="1"/>
      <c r="G78" s="1"/>
    </row>
    <row r="79" spans="5:7" x14ac:dyDescent="0.2">
      <c r="E79" s="1"/>
      <c r="F79" s="1"/>
      <c r="G79" s="1"/>
    </row>
    <row r="80" spans="5:7" x14ac:dyDescent="0.2">
      <c r="E80" s="1"/>
      <c r="F80" s="1"/>
      <c r="G80" s="1"/>
    </row>
    <row r="81" spans="5:7" x14ac:dyDescent="0.2">
      <c r="E81" s="1"/>
      <c r="F81" s="1"/>
      <c r="G81" s="1"/>
    </row>
    <row r="82" spans="5:7" x14ac:dyDescent="0.2">
      <c r="E82" s="1"/>
      <c r="F82" s="1"/>
      <c r="G82" s="1"/>
    </row>
    <row r="83" spans="5:7" x14ac:dyDescent="0.2">
      <c r="E83" s="1"/>
      <c r="F83" s="1"/>
      <c r="G83" s="1"/>
    </row>
    <row r="84" spans="5:7" x14ac:dyDescent="0.2">
      <c r="E84" s="1"/>
      <c r="F84" s="1"/>
      <c r="G84" s="1"/>
    </row>
    <row r="85" spans="5:7" x14ac:dyDescent="0.2">
      <c r="E85" s="1"/>
      <c r="F85" s="1"/>
      <c r="G85" s="1"/>
    </row>
    <row r="86" spans="5:7" x14ac:dyDescent="0.2">
      <c r="E86" s="1"/>
      <c r="F86" s="1"/>
      <c r="G86" s="1"/>
    </row>
    <row r="87" spans="5:7" x14ac:dyDescent="0.2">
      <c r="E87" s="1"/>
      <c r="F87" s="1"/>
      <c r="G87" s="1"/>
    </row>
    <row r="88" spans="5:7" x14ac:dyDescent="0.2">
      <c r="E88" s="1"/>
      <c r="F88" s="1"/>
      <c r="G88" s="1"/>
    </row>
    <row r="89" spans="5:7" x14ac:dyDescent="0.2">
      <c r="E89" s="1"/>
      <c r="F89" s="1"/>
      <c r="G89" s="1"/>
    </row>
    <row r="90" spans="5:7" x14ac:dyDescent="0.2">
      <c r="E90" s="1"/>
      <c r="F90" s="1"/>
      <c r="G90" s="1"/>
    </row>
    <row r="91" spans="5:7" x14ac:dyDescent="0.2">
      <c r="E91" s="1"/>
      <c r="F91" s="1"/>
      <c r="G91" s="1"/>
    </row>
    <row r="92" spans="5:7" x14ac:dyDescent="0.2">
      <c r="E92" s="1"/>
      <c r="F92" s="1"/>
      <c r="G92" s="1"/>
    </row>
    <row r="93" spans="5:7" x14ac:dyDescent="0.2">
      <c r="E93" s="1"/>
      <c r="F93" s="1"/>
      <c r="G93" s="1"/>
    </row>
    <row r="94" spans="5:7" x14ac:dyDescent="0.2">
      <c r="E94" s="1"/>
      <c r="F94" s="1"/>
      <c r="G94" s="1"/>
    </row>
    <row r="95" spans="5:7" x14ac:dyDescent="0.2">
      <c r="E95" s="1"/>
      <c r="F95" s="1"/>
      <c r="G95" s="1"/>
    </row>
    <row r="96" spans="5:7" x14ac:dyDescent="0.2">
      <c r="E96" s="1"/>
      <c r="F96" s="1"/>
      <c r="G96" s="1"/>
    </row>
  </sheetData>
  <phoneticPr fontId="2" type="noConversion"/>
  <pageMargins left="0.74803149606299213" right="0.74803149606299213" top="0.78740157480314965" bottom="0.98425196850393704" header="0.39370078740157483" footer="0.51181102362204722"/>
  <pageSetup paperSize="9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9:Q91"/>
  <sheetViews>
    <sheetView topLeftCell="A19" zoomScaleSheetLayoutView="100" workbookViewId="0">
      <selection activeCell="D37" sqref="D37"/>
    </sheetView>
  </sheetViews>
  <sheetFormatPr baseColWidth="10" defaultColWidth="9.140625" defaultRowHeight="12.75" x14ac:dyDescent="0.2"/>
  <cols>
    <col min="1" max="1" width="12.7109375" bestFit="1" customWidth="1"/>
    <col min="2" max="2" width="30.7109375" bestFit="1" customWidth="1"/>
    <col min="3" max="3" width="5.140625" style="2" bestFit="1" customWidth="1"/>
    <col min="4" max="4" width="14.42578125" customWidth="1"/>
    <col min="5" max="5" width="23.140625" customWidth="1"/>
    <col min="6" max="6" width="4" customWidth="1"/>
    <col min="7" max="7" width="12.28515625" hidden="1" customWidth="1"/>
    <col min="8" max="8" width="17.42578125" customWidth="1"/>
    <col min="12" max="12" width="29.42578125" customWidth="1"/>
  </cols>
  <sheetData>
    <row r="9" spans="1:10" ht="18" x14ac:dyDescent="0.25">
      <c r="A9" s="55" t="s">
        <v>133</v>
      </c>
      <c r="B9" s="55"/>
      <c r="C9" s="55"/>
      <c r="D9" s="55"/>
      <c r="E9" s="55"/>
      <c r="F9" s="55"/>
      <c r="G9" s="55"/>
      <c r="H9" s="55"/>
      <c r="I9" s="5"/>
      <c r="J9" s="5"/>
    </row>
    <row r="10" spans="1:10" x14ac:dyDescent="0.2">
      <c r="A10" s="10"/>
      <c r="B10" s="10"/>
      <c r="C10" s="12"/>
      <c r="D10" s="10"/>
      <c r="E10" s="10"/>
      <c r="F10" s="10"/>
      <c r="G10" s="10"/>
      <c r="H10" s="10"/>
    </row>
    <row r="11" spans="1:10" ht="15.75" x14ac:dyDescent="0.25">
      <c r="A11" s="11"/>
      <c r="B11" s="11" t="s">
        <v>40</v>
      </c>
      <c r="C11" s="11"/>
      <c r="D11" s="11"/>
      <c r="E11" s="10"/>
      <c r="F11" s="10"/>
      <c r="G11" s="10"/>
      <c r="H11" s="10"/>
    </row>
    <row r="12" spans="1:10" x14ac:dyDescent="0.2">
      <c r="A12" s="10"/>
      <c r="B12" s="10"/>
      <c r="C12" s="12"/>
      <c r="D12" s="10"/>
      <c r="E12" s="15"/>
      <c r="F12" s="15"/>
      <c r="G12" s="15"/>
      <c r="H12" s="10"/>
    </row>
    <row r="13" spans="1:10" x14ac:dyDescent="0.2">
      <c r="A13" s="10"/>
      <c r="B13" s="12" t="s">
        <v>15</v>
      </c>
      <c r="C13" s="12" t="s">
        <v>42</v>
      </c>
      <c r="D13" s="12">
        <v>2019</v>
      </c>
      <c r="E13" s="12">
        <v>2018</v>
      </c>
      <c r="F13" s="12"/>
      <c r="G13" s="12">
        <v>2007</v>
      </c>
      <c r="H13" s="10"/>
    </row>
    <row r="15" spans="1:10" x14ac:dyDescent="0.2">
      <c r="B15" s="2" t="s">
        <v>16</v>
      </c>
      <c r="C15" s="14"/>
      <c r="D15" s="14"/>
      <c r="E15" s="1"/>
      <c r="F15" s="1"/>
      <c r="G15" s="1"/>
    </row>
    <row r="16" spans="1:10" x14ac:dyDescent="0.2">
      <c r="B16" s="3" t="s">
        <v>123</v>
      </c>
      <c r="C16" s="14"/>
      <c r="D16" s="41">
        <f>720807.11+127813</f>
        <v>848620.11</v>
      </c>
      <c r="E16" s="1">
        <f>1747981+127813</f>
        <v>1875794</v>
      </c>
      <c r="F16" s="1"/>
      <c r="G16" s="1"/>
    </row>
    <row r="17" spans="2:7" x14ac:dyDescent="0.2">
      <c r="B17" s="3" t="s">
        <v>132</v>
      </c>
      <c r="C17" s="14"/>
      <c r="D17" s="38">
        <f>5208776</f>
        <v>5208776</v>
      </c>
      <c r="E17" s="1">
        <f>88262+38378+34816</f>
        <v>161456</v>
      </c>
      <c r="F17" s="1"/>
      <c r="G17" s="1"/>
    </row>
    <row r="18" spans="2:7" x14ac:dyDescent="0.2">
      <c r="B18" s="3" t="s">
        <v>135</v>
      </c>
      <c r="C18" s="14"/>
      <c r="D18" s="38">
        <v>2786449</v>
      </c>
      <c r="E18" s="1">
        <v>0</v>
      </c>
      <c r="F18" s="1"/>
      <c r="G18" s="1"/>
    </row>
    <row r="19" spans="2:7" x14ac:dyDescent="0.2">
      <c r="B19" s="39" t="s">
        <v>140</v>
      </c>
      <c r="C19" s="14"/>
      <c r="D19" s="1">
        <f>278040+208480.01</f>
        <v>486520.01</v>
      </c>
      <c r="E19" s="1">
        <v>427226</v>
      </c>
      <c r="F19" s="1"/>
      <c r="G19" s="1">
        <v>314618</v>
      </c>
    </row>
    <row r="20" spans="2:7" x14ac:dyDescent="0.2">
      <c r="B20" s="7" t="s">
        <v>23</v>
      </c>
      <c r="C20" s="17">
        <v>6</v>
      </c>
      <c r="D20" s="8">
        <f>SUM(D16:D19)</f>
        <v>9330365.1199999992</v>
      </c>
      <c r="E20" s="8">
        <f>SUM(E16:E19)</f>
        <v>2464476</v>
      </c>
      <c r="F20" s="8"/>
      <c r="G20" s="8">
        <f>SUM(G19:G19)</f>
        <v>314618</v>
      </c>
    </row>
    <row r="21" spans="2:7" x14ac:dyDescent="0.2">
      <c r="C21" s="14"/>
      <c r="D21" s="1"/>
      <c r="E21" s="1"/>
      <c r="F21" s="1"/>
      <c r="G21" s="1"/>
    </row>
    <row r="22" spans="2:7" x14ac:dyDescent="0.2">
      <c r="B22" s="2" t="s">
        <v>17</v>
      </c>
      <c r="C22" s="14"/>
      <c r="D22" s="1"/>
      <c r="E22" s="1"/>
      <c r="F22" s="1"/>
      <c r="G22" s="1"/>
    </row>
    <row r="23" spans="2:7" x14ac:dyDescent="0.2">
      <c r="B23" s="3" t="s">
        <v>45</v>
      </c>
      <c r="C23" s="14">
        <v>9</v>
      </c>
      <c r="D23" s="1">
        <v>53587</v>
      </c>
      <c r="E23" s="1">
        <v>29648</v>
      </c>
      <c r="F23" s="1"/>
      <c r="G23" s="1"/>
    </row>
    <row r="24" spans="2:7" x14ac:dyDescent="0.2">
      <c r="B24" t="s">
        <v>28</v>
      </c>
      <c r="C24" s="14">
        <v>10</v>
      </c>
      <c r="D24" s="1">
        <v>93775</v>
      </c>
      <c r="E24" s="1">
        <v>257571</v>
      </c>
      <c r="F24" s="1"/>
      <c r="G24" s="1">
        <v>0</v>
      </c>
    </row>
    <row r="25" spans="2:7" x14ac:dyDescent="0.2">
      <c r="B25" s="3" t="s">
        <v>36</v>
      </c>
      <c r="C25" s="14">
        <v>10</v>
      </c>
      <c r="D25" s="1">
        <v>1988248.62</v>
      </c>
      <c r="E25" s="1">
        <v>364225</v>
      </c>
      <c r="F25" s="1"/>
      <c r="G25" s="1">
        <f>526317+46897-122729-4166-15227-316459</f>
        <v>114633</v>
      </c>
    </row>
    <row r="26" spans="2:7" x14ac:dyDescent="0.2">
      <c r="B26" t="s">
        <v>29</v>
      </c>
      <c r="C26" s="14">
        <v>7</v>
      </c>
      <c r="D26" s="1">
        <v>7982216</v>
      </c>
      <c r="E26" s="1">
        <v>4316576</v>
      </c>
      <c r="F26" s="1"/>
      <c r="G26" s="1">
        <v>7117137</v>
      </c>
    </row>
    <row r="27" spans="2:7" x14ac:dyDescent="0.2">
      <c r="C27" s="14"/>
      <c r="D27" s="1"/>
      <c r="E27" s="1"/>
      <c r="F27" s="1"/>
      <c r="G27" s="1"/>
    </row>
    <row r="28" spans="2:7" x14ac:dyDescent="0.2">
      <c r="B28" s="7" t="s">
        <v>37</v>
      </c>
      <c r="C28" s="17"/>
      <c r="D28" s="8">
        <f>SUM(D23:D27)</f>
        <v>10117826.620000001</v>
      </c>
      <c r="E28" s="8">
        <f>SUM(E23:E27)</f>
        <v>4968020</v>
      </c>
      <c r="F28" s="8"/>
      <c r="G28" s="8">
        <f>SUM(G24:G27)</f>
        <v>7231770</v>
      </c>
    </row>
    <row r="29" spans="2:7" x14ac:dyDescent="0.2">
      <c r="C29" s="14"/>
      <c r="D29" s="1"/>
      <c r="E29" s="1"/>
      <c r="F29" s="1"/>
      <c r="G29" s="1"/>
    </row>
    <row r="30" spans="2:7" x14ac:dyDescent="0.2">
      <c r="B30" s="7" t="s">
        <v>35</v>
      </c>
      <c r="C30" s="17"/>
      <c r="D30" s="8">
        <f>D28+D20-1</f>
        <v>19448190.740000002</v>
      </c>
      <c r="E30" s="8">
        <f>+E28+E20+2</f>
        <v>7432498</v>
      </c>
      <c r="F30" s="8"/>
      <c r="G30" s="8">
        <f>+G28+G20</f>
        <v>7546388</v>
      </c>
    </row>
    <row r="31" spans="2:7" x14ac:dyDescent="0.2">
      <c r="C31" s="14"/>
      <c r="D31" s="1"/>
      <c r="E31" s="1"/>
      <c r="F31" s="1"/>
      <c r="G31" s="1"/>
    </row>
    <row r="32" spans="2:7" x14ac:dyDescent="0.2">
      <c r="C32" s="14"/>
      <c r="D32" s="1"/>
      <c r="E32" s="1"/>
      <c r="F32" s="1"/>
      <c r="G32" s="1"/>
    </row>
    <row r="33" spans="2:7" x14ac:dyDescent="0.2">
      <c r="B33" s="2" t="s">
        <v>18</v>
      </c>
      <c r="C33" s="14"/>
      <c r="D33" s="1"/>
      <c r="E33" s="1"/>
      <c r="F33" s="1"/>
      <c r="G33" s="1"/>
    </row>
    <row r="34" spans="2:7" x14ac:dyDescent="0.2">
      <c r="C34" s="14"/>
      <c r="D34" s="1"/>
      <c r="E34" s="1"/>
      <c r="F34" s="1"/>
      <c r="G34" s="1"/>
    </row>
    <row r="35" spans="2:7" x14ac:dyDescent="0.2">
      <c r="B35" s="2" t="s">
        <v>19</v>
      </c>
      <c r="C35" s="14"/>
      <c r="D35" s="1"/>
      <c r="E35" s="1"/>
      <c r="F35" s="1"/>
      <c r="G35" s="1"/>
    </row>
    <row r="36" spans="2:7" x14ac:dyDescent="0.2">
      <c r="B36" t="s">
        <v>30</v>
      </c>
      <c r="C36" s="14"/>
      <c r="D36" s="1">
        <f>1400417.28+509000+2327810.8+114020.86-582500</f>
        <v>3768748.9400000004</v>
      </c>
      <c r="E36" s="22">
        <f>2218629-195191</f>
        <v>2023438</v>
      </c>
      <c r="F36" s="1"/>
      <c r="G36" s="1">
        <v>2559422</v>
      </c>
    </row>
    <row r="37" spans="2:7" x14ac:dyDescent="0.2">
      <c r="B37" s="3" t="s">
        <v>58</v>
      </c>
      <c r="C37" s="14"/>
      <c r="D37" s="1">
        <v>195191</v>
      </c>
      <c r="E37" s="1">
        <v>195191</v>
      </c>
      <c r="F37" s="1"/>
      <c r="G37" s="1"/>
    </row>
    <row r="38" spans="2:7" x14ac:dyDescent="0.2">
      <c r="B38" s="3"/>
      <c r="C38" s="14">
        <v>8</v>
      </c>
      <c r="D38" s="20">
        <f>SUM(D36:D37)</f>
        <v>3963939.9400000004</v>
      </c>
      <c r="E38" s="20">
        <f>SUM(E36:E37)</f>
        <v>2218629</v>
      </c>
      <c r="F38" s="1"/>
      <c r="G38" s="1"/>
    </row>
    <row r="39" spans="2:7" x14ac:dyDescent="0.2">
      <c r="B39" s="2" t="s">
        <v>24</v>
      </c>
      <c r="C39" s="14"/>
      <c r="D39" s="1"/>
      <c r="E39" s="1"/>
      <c r="F39" s="1"/>
      <c r="G39" s="1"/>
    </row>
    <row r="40" spans="2:7" x14ac:dyDescent="0.2">
      <c r="B40" s="3" t="s">
        <v>139</v>
      </c>
      <c r="C40" s="14">
        <v>6</v>
      </c>
      <c r="D40" s="1">
        <f>1466063.32+5600000+4100000</f>
        <v>11166063.32</v>
      </c>
      <c r="E40" s="1">
        <v>2951535</v>
      </c>
      <c r="F40" s="1"/>
      <c r="G40" s="1">
        <v>400000</v>
      </c>
    </row>
    <row r="41" spans="2:7" x14ac:dyDescent="0.2">
      <c r="B41" s="51"/>
      <c r="C41" s="14"/>
      <c r="D41" s="1"/>
      <c r="E41" s="1"/>
      <c r="F41" s="1"/>
      <c r="G41" s="1">
        <f>113420+314618</f>
        <v>428038</v>
      </c>
    </row>
    <row r="42" spans="2:7" x14ac:dyDescent="0.2">
      <c r="B42" s="7" t="s">
        <v>27</v>
      </c>
      <c r="C42" s="17"/>
      <c r="D42" s="8">
        <f>SUM(D40:D41)</f>
        <v>11166063.32</v>
      </c>
      <c r="E42" s="8">
        <f>SUM(E40:E41)</f>
        <v>2951535</v>
      </c>
      <c r="F42" s="8"/>
      <c r="G42" s="8">
        <f>SUM(G40:G41)</f>
        <v>828038</v>
      </c>
    </row>
    <row r="43" spans="2:7" x14ac:dyDescent="0.2">
      <c r="C43" s="14"/>
      <c r="D43" s="1"/>
      <c r="E43" s="1"/>
      <c r="F43" s="1"/>
      <c r="G43" s="1"/>
    </row>
    <row r="44" spans="2:7" x14ac:dyDescent="0.2">
      <c r="B44" s="2" t="s">
        <v>20</v>
      </c>
      <c r="C44" s="14"/>
      <c r="D44" s="1"/>
      <c r="E44" s="1"/>
      <c r="F44" s="1"/>
      <c r="G44" s="1"/>
    </row>
    <row r="45" spans="2:7" x14ac:dyDescent="0.2">
      <c r="B45" t="s">
        <v>31</v>
      </c>
      <c r="C45" s="14"/>
      <c r="D45" s="1">
        <v>2253005</v>
      </c>
      <c r="E45" s="1">
        <v>1040232</v>
      </c>
      <c r="F45" s="1"/>
      <c r="G45" s="1">
        <v>2426230</v>
      </c>
    </row>
    <row r="46" spans="2:7" x14ac:dyDescent="0.2">
      <c r="B46" t="s">
        <v>32</v>
      </c>
      <c r="C46" s="14"/>
      <c r="D46" s="1">
        <f>243400+145453+38208</f>
        <v>427061</v>
      </c>
      <c r="E46" s="1">
        <v>305265</v>
      </c>
      <c r="F46" s="1"/>
      <c r="G46" s="1">
        <v>-451077</v>
      </c>
    </row>
    <row r="47" spans="2:7" x14ac:dyDescent="0.2">
      <c r="B47" t="s">
        <v>33</v>
      </c>
      <c r="C47" s="14"/>
      <c r="D47" s="1">
        <f>254861.75+226517.6+119786.93+24066.7+8369.8+279393.4+725125</f>
        <v>1638121.1800000002</v>
      </c>
      <c r="E47" s="1">
        <f>7432498-6515662</f>
        <v>916836</v>
      </c>
      <c r="F47" s="1"/>
      <c r="G47" s="1">
        <f>3066122-122729-4166-15227-316459</f>
        <v>2607541</v>
      </c>
    </row>
    <row r="48" spans="2:7" x14ac:dyDescent="0.2">
      <c r="C48" s="14"/>
      <c r="D48" s="1"/>
      <c r="E48" s="1"/>
      <c r="F48" s="1"/>
      <c r="G48" s="1"/>
    </row>
    <row r="49" spans="2:13" x14ac:dyDescent="0.2">
      <c r="B49" s="7" t="s">
        <v>25</v>
      </c>
      <c r="C49" s="17"/>
      <c r="D49" s="8">
        <f>SUM(D45:D48)</f>
        <v>4318187.18</v>
      </c>
      <c r="E49" s="8">
        <f>SUM(E45:E48)</f>
        <v>2262333</v>
      </c>
      <c r="F49" s="8"/>
      <c r="G49" s="8">
        <f>SUM(G45:G48)</f>
        <v>4582694</v>
      </c>
    </row>
    <row r="50" spans="2:13" x14ac:dyDescent="0.2">
      <c r="B50" s="6"/>
      <c r="C50" s="17"/>
      <c r="D50" s="9"/>
      <c r="E50" s="9"/>
      <c r="F50" s="9"/>
      <c r="G50" s="9"/>
    </row>
    <row r="51" spans="2:13" s="2" customFormat="1" x14ac:dyDescent="0.2">
      <c r="B51" s="7" t="s">
        <v>26</v>
      </c>
      <c r="C51" s="17"/>
      <c r="D51" s="8">
        <f>+D49+D42</f>
        <v>15484250.5</v>
      </c>
      <c r="E51" s="8">
        <f>+E49+E42</f>
        <v>5213868</v>
      </c>
      <c r="F51" s="8"/>
      <c r="G51" s="8">
        <f>+G49+G42</f>
        <v>5410732</v>
      </c>
    </row>
    <row r="52" spans="2:13" x14ac:dyDescent="0.2">
      <c r="B52" s="6"/>
      <c r="C52" s="17"/>
      <c r="D52" s="9"/>
      <c r="E52" s="9"/>
      <c r="F52" s="9"/>
      <c r="G52" s="9"/>
    </row>
    <row r="53" spans="2:13" x14ac:dyDescent="0.2">
      <c r="B53" s="7" t="s">
        <v>34</v>
      </c>
      <c r="C53" s="17"/>
      <c r="D53" s="8">
        <f>D38+D42+D49+1</f>
        <v>19448191.440000001</v>
      </c>
      <c r="E53" s="8">
        <f>+E51+E38+1</f>
        <v>7432498</v>
      </c>
      <c r="F53" s="8"/>
      <c r="G53" s="8">
        <f>+G51+G36</f>
        <v>7970154</v>
      </c>
      <c r="H53" s="2"/>
    </row>
    <row r="54" spans="2:13" x14ac:dyDescent="0.2">
      <c r="B54" s="7"/>
      <c r="C54" s="17"/>
      <c r="D54" s="8"/>
      <c r="E54" s="8"/>
      <c r="F54" s="8"/>
      <c r="G54" s="8"/>
      <c r="H54" s="2"/>
    </row>
    <row r="55" spans="2:13" x14ac:dyDescent="0.2">
      <c r="B55" s="7"/>
      <c r="C55" s="17"/>
      <c r="D55" s="8"/>
      <c r="E55" s="8"/>
      <c r="F55" s="8"/>
      <c r="G55" s="8"/>
      <c r="H55" s="2"/>
    </row>
    <row r="56" spans="2:13" x14ac:dyDescent="0.2">
      <c r="G56" s="1"/>
    </row>
    <row r="57" spans="2:13" x14ac:dyDescent="0.2">
      <c r="D57" s="3" t="s">
        <v>141</v>
      </c>
      <c r="G57" s="1"/>
    </row>
    <row r="58" spans="2:13" x14ac:dyDescent="0.2">
      <c r="D58" s="3"/>
      <c r="G58" s="1"/>
    </row>
    <row r="61" spans="2:13" x14ac:dyDescent="0.2">
      <c r="B61" s="31" t="s">
        <v>120</v>
      </c>
      <c r="D61" s="3"/>
      <c r="E61" s="31" t="s">
        <v>145</v>
      </c>
    </row>
    <row r="62" spans="2:13" x14ac:dyDescent="0.2">
      <c r="B62" s="3" t="s">
        <v>74</v>
      </c>
      <c r="E62" s="3" t="s">
        <v>142</v>
      </c>
      <c r="L62" s="2"/>
      <c r="M62" s="2"/>
    </row>
    <row r="63" spans="2:13" x14ac:dyDescent="0.2">
      <c r="I63" s="1"/>
      <c r="J63" s="1"/>
    </row>
    <row r="66" spans="2:17" x14ac:dyDescent="0.2">
      <c r="B66" s="31" t="s">
        <v>144</v>
      </c>
      <c r="E66" s="31" t="s">
        <v>121</v>
      </c>
      <c r="N66" s="3"/>
      <c r="P66" s="1"/>
    </row>
    <row r="67" spans="2:17" x14ac:dyDescent="0.2">
      <c r="B67" s="3" t="s">
        <v>76</v>
      </c>
      <c r="E67" s="3" t="s">
        <v>76</v>
      </c>
      <c r="N67" s="1"/>
      <c r="O67" s="1"/>
      <c r="P67" s="1"/>
    </row>
    <row r="68" spans="2:17" x14ac:dyDescent="0.2">
      <c r="N68" s="1"/>
      <c r="O68" s="1"/>
      <c r="P68" s="1"/>
    </row>
    <row r="69" spans="2:17" x14ac:dyDescent="0.2">
      <c r="N69" s="1"/>
      <c r="O69" s="1"/>
      <c r="P69" s="1"/>
    </row>
    <row r="70" spans="2:17" x14ac:dyDescent="0.2">
      <c r="N70" s="1"/>
      <c r="O70" s="1"/>
      <c r="P70" s="1"/>
    </row>
    <row r="71" spans="2:17" x14ac:dyDescent="0.2">
      <c r="B71" s="31" t="s">
        <v>159</v>
      </c>
      <c r="E71" s="31" t="s">
        <v>143</v>
      </c>
      <c r="N71" s="1"/>
      <c r="O71" s="1"/>
      <c r="P71" s="1"/>
    </row>
    <row r="72" spans="2:17" x14ac:dyDescent="0.2">
      <c r="B72" s="3" t="s">
        <v>76</v>
      </c>
      <c r="E72" s="3" t="s">
        <v>76</v>
      </c>
      <c r="N72" s="1"/>
      <c r="O72" s="1"/>
      <c r="P72" s="1"/>
    </row>
    <row r="73" spans="2:17" x14ac:dyDescent="0.2">
      <c r="B73" s="3"/>
      <c r="E73" s="3"/>
      <c r="N73" s="1"/>
      <c r="O73" s="1"/>
      <c r="P73" s="1"/>
    </row>
    <row r="74" spans="2:17" x14ac:dyDescent="0.2">
      <c r="N74" s="1"/>
      <c r="O74" s="1"/>
      <c r="P74" s="1"/>
    </row>
    <row r="75" spans="2:17" x14ac:dyDescent="0.2">
      <c r="B75" t="s">
        <v>73</v>
      </c>
      <c r="K75" s="4"/>
      <c r="N75" s="18"/>
      <c r="O75" s="4"/>
      <c r="P75" s="56"/>
      <c r="Q75" s="57"/>
    </row>
    <row r="76" spans="2:17" x14ac:dyDescent="0.2">
      <c r="B76" s="3" t="s">
        <v>75</v>
      </c>
      <c r="K76" s="4"/>
      <c r="N76" s="4"/>
      <c r="O76" s="4"/>
      <c r="P76" s="54"/>
      <c r="Q76" s="54"/>
    </row>
    <row r="77" spans="2:17" x14ac:dyDescent="0.2">
      <c r="B77" s="3" t="s">
        <v>77</v>
      </c>
      <c r="N77" s="1"/>
      <c r="O77" s="1"/>
      <c r="P77" s="1"/>
    </row>
    <row r="78" spans="2:17" x14ac:dyDescent="0.2">
      <c r="N78" s="1"/>
      <c r="O78" s="1"/>
      <c r="P78" s="1"/>
    </row>
    <row r="79" spans="2:17" x14ac:dyDescent="0.2">
      <c r="N79" s="1"/>
      <c r="O79" s="1"/>
      <c r="P79" s="1"/>
    </row>
    <row r="80" spans="2:17" x14ac:dyDescent="0.2">
      <c r="N80" s="1"/>
      <c r="O80" s="1"/>
      <c r="P80" s="1"/>
    </row>
    <row r="81" spans="11:17" x14ac:dyDescent="0.2">
      <c r="N81" s="1"/>
      <c r="P81" s="1"/>
    </row>
    <row r="82" spans="11:17" x14ac:dyDescent="0.2">
      <c r="K82" s="4"/>
      <c r="N82" s="54"/>
      <c r="O82" s="54"/>
      <c r="P82" s="54"/>
      <c r="Q82" s="54"/>
    </row>
    <row r="83" spans="11:17" x14ac:dyDescent="0.2">
      <c r="K83" s="4"/>
      <c r="L83" s="4"/>
      <c r="M83" s="4"/>
      <c r="N83" s="54"/>
      <c r="O83" s="54"/>
      <c r="P83" s="54"/>
      <c r="Q83" s="54"/>
    </row>
    <row r="84" spans="11:17" x14ac:dyDescent="0.2">
      <c r="L84" s="4"/>
      <c r="M84" s="4"/>
    </row>
    <row r="90" spans="11:17" x14ac:dyDescent="0.2">
      <c r="L90" s="4"/>
      <c r="M90" s="4"/>
    </row>
    <row r="91" spans="11:17" x14ac:dyDescent="0.2">
      <c r="L91" s="4"/>
      <c r="M91" s="4"/>
    </row>
  </sheetData>
  <mergeCells count="7">
    <mergeCell ref="P82:Q82"/>
    <mergeCell ref="P83:Q83"/>
    <mergeCell ref="A9:H9"/>
    <mergeCell ref="P75:Q75"/>
    <mergeCell ref="P76:Q76"/>
    <mergeCell ref="N82:O82"/>
    <mergeCell ref="N83:O83"/>
  </mergeCells>
  <phoneticPr fontId="2" type="noConversion"/>
  <pageMargins left="0.74803149606299213" right="0.74803149606299213" top="0.6692913385826772" bottom="0.6692913385826772" header="0.31496062992125984" footer="0.31496062992125984"/>
  <pageSetup paperSize="9" scale="71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132"/>
  <sheetViews>
    <sheetView tabSelected="1" topLeftCell="A10" workbookViewId="0">
      <selection activeCell="K38" sqref="K38"/>
    </sheetView>
  </sheetViews>
  <sheetFormatPr baseColWidth="10" defaultColWidth="9.140625" defaultRowHeight="12.75" x14ac:dyDescent="0.2"/>
  <cols>
    <col min="2" max="2" width="24.140625" customWidth="1"/>
    <col min="3" max="3" width="15.140625" bestFit="1" customWidth="1"/>
    <col min="4" max="5" width="15.140625" customWidth="1"/>
    <col min="6" max="6" width="14.28515625" customWidth="1"/>
    <col min="7" max="7" width="13.42578125" bestFit="1" customWidth="1"/>
    <col min="8" max="9" width="10.28515625" bestFit="1" customWidth="1"/>
    <col min="15" max="15" width="31.7109375" bestFit="1" customWidth="1"/>
    <col min="17" max="18" width="10.7109375" bestFit="1" customWidth="1"/>
  </cols>
  <sheetData>
    <row r="2" spans="1:18" ht="18" x14ac:dyDescent="0.25">
      <c r="A2" s="55" t="s">
        <v>146</v>
      </c>
      <c r="B2" s="55"/>
      <c r="C2" s="55"/>
      <c r="D2" s="55"/>
      <c r="E2" s="55"/>
      <c r="F2" s="55"/>
      <c r="G2" s="55"/>
    </row>
    <row r="4" spans="1:18" x14ac:dyDescent="0.2">
      <c r="B4" s="58"/>
      <c r="C4" s="58"/>
      <c r="D4" s="58"/>
      <c r="E4" s="58"/>
      <c r="F4" s="58"/>
      <c r="G4" s="58"/>
    </row>
    <row r="6" spans="1:18" ht="15.75" x14ac:dyDescent="0.25">
      <c r="A6" s="16" t="s">
        <v>44</v>
      </c>
      <c r="B6" s="16" t="s">
        <v>46</v>
      </c>
    </row>
    <row r="8" spans="1:18" x14ac:dyDescent="0.2">
      <c r="B8" s="58" t="s">
        <v>56</v>
      </c>
      <c r="C8" s="58"/>
      <c r="D8" s="58"/>
      <c r="E8" s="58"/>
      <c r="F8" s="58"/>
      <c r="G8" s="58"/>
    </row>
    <row r="9" spans="1:18" x14ac:dyDescent="0.2">
      <c r="B9" s="3" t="s">
        <v>89</v>
      </c>
    </row>
    <row r="10" spans="1:18" ht="15.75" x14ac:dyDescent="0.2">
      <c r="B10" s="25" t="s">
        <v>90</v>
      </c>
    </row>
    <row r="11" spans="1:18" ht="15.75" x14ac:dyDescent="0.2">
      <c r="B11" s="25"/>
    </row>
    <row r="12" spans="1:18" ht="15.75" x14ac:dyDescent="0.25">
      <c r="A12" s="24" t="s">
        <v>79</v>
      </c>
      <c r="B12" s="27" t="s">
        <v>126</v>
      </c>
    </row>
    <row r="13" spans="1:18" ht="15.75" x14ac:dyDescent="0.25">
      <c r="A13" s="24"/>
      <c r="B13" s="27"/>
    </row>
    <row r="14" spans="1:18" ht="15.75" x14ac:dyDescent="0.25">
      <c r="A14" s="24"/>
      <c r="B14" s="25" t="s">
        <v>91</v>
      </c>
    </row>
    <row r="15" spans="1:18" ht="15.75" x14ac:dyDescent="0.2">
      <c r="B15" s="25" t="s">
        <v>92</v>
      </c>
    </row>
    <row r="16" spans="1:18" ht="15.75" x14ac:dyDescent="0.2">
      <c r="B16" s="25"/>
      <c r="F16">
        <v>2019</v>
      </c>
      <c r="G16">
        <v>2018</v>
      </c>
      <c r="P16" s="14"/>
      <c r="Q16" s="1"/>
      <c r="R16" s="1"/>
    </row>
    <row r="17" spans="1:18" x14ac:dyDescent="0.2">
      <c r="B17" t="s">
        <v>1</v>
      </c>
      <c r="C17" s="14"/>
      <c r="D17" s="14"/>
      <c r="E17" s="14"/>
      <c r="F17" s="1">
        <v>471870</v>
      </c>
      <c r="G17" s="1">
        <v>474677</v>
      </c>
      <c r="P17" s="14"/>
      <c r="Q17" s="1"/>
      <c r="R17" s="1"/>
    </row>
    <row r="18" spans="1:18" x14ac:dyDescent="0.2">
      <c r="B18" s="3" t="s">
        <v>78</v>
      </c>
      <c r="C18" s="14"/>
      <c r="D18" s="14"/>
      <c r="E18" s="14"/>
      <c r="F18" s="1">
        <v>3422244</v>
      </c>
      <c r="G18" s="1">
        <v>2831620</v>
      </c>
      <c r="P18" s="14"/>
      <c r="Q18" s="1"/>
      <c r="R18" s="1"/>
    </row>
    <row r="19" spans="1:18" x14ac:dyDescent="0.2">
      <c r="B19" s="3" t="s">
        <v>124</v>
      </c>
      <c r="C19" s="14"/>
      <c r="D19" s="14"/>
      <c r="E19" s="14"/>
      <c r="F19" s="1">
        <v>2458138</v>
      </c>
      <c r="G19" s="1">
        <v>2477894</v>
      </c>
      <c r="P19" s="14"/>
      <c r="Q19" s="1"/>
      <c r="R19" s="1"/>
    </row>
    <row r="20" spans="1:18" x14ac:dyDescent="0.2">
      <c r="B20" t="s">
        <v>2</v>
      </c>
      <c r="C20" s="14"/>
      <c r="D20" s="14"/>
      <c r="E20" s="14"/>
      <c r="F20" s="1">
        <v>269910</v>
      </c>
      <c r="G20" s="1">
        <v>280249</v>
      </c>
      <c r="P20" s="14"/>
      <c r="Q20" s="1"/>
      <c r="R20" s="1"/>
    </row>
    <row r="21" spans="1:18" x14ac:dyDescent="0.2">
      <c r="B21" t="s">
        <v>125</v>
      </c>
      <c r="C21" s="14"/>
      <c r="D21" s="14"/>
      <c r="E21" s="14"/>
      <c r="F21" s="1">
        <v>970556</v>
      </c>
      <c r="G21" s="1">
        <v>1049072</v>
      </c>
      <c r="P21" s="14"/>
      <c r="Q21" s="1"/>
      <c r="R21" s="1"/>
    </row>
    <row r="22" spans="1:18" x14ac:dyDescent="0.2">
      <c r="B22" t="s">
        <v>3</v>
      </c>
      <c r="C22" s="14"/>
      <c r="D22" s="14"/>
      <c r="E22" s="14"/>
      <c r="F22" s="1">
        <v>3186942</v>
      </c>
      <c r="G22" s="1">
        <v>2200948</v>
      </c>
      <c r="P22" s="14"/>
      <c r="Q22" s="1"/>
      <c r="R22" s="1"/>
    </row>
    <row r="23" spans="1:18" x14ac:dyDescent="0.2">
      <c r="B23" t="s">
        <v>5</v>
      </c>
      <c r="C23" s="14"/>
      <c r="D23" s="14"/>
      <c r="E23" s="14"/>
      <c r="F23" s="1">
        <v>2299602</v>
      </c>
      <c r="G23" s="1">
        <v>2464721</v>
      </c>
      <c r="P23" s="14"/>
      <c r="Q23" s="1"/>
      <c r="R23" s="1"/>
    </row>
    <row r="24" spans="1:18" x14ac:dyDescent="0.2">
      <c r="B24" t="s">
        <v>6</v>
      </c>
      <c r="C24" s="14"/>
      <c r="D24" s="14"/>
      <c r="E24" s="14"/>
      <c r="F24" s="1">
        <v>5069242</v>
      </c>
      <c r="G24" s="1">
        <v>3531783</v>
      </c>
      <c r="P24" s="14"/>
      <c r="Q24" s="1"/>
      <c r="R24" s="1"/>
    </row>
    <row r="25" spans="1:18" x14ac:dyDescent="0.2">
      <c r="C25" s="14"/>
      <c r="D25" s="14"/>
      <c r="E25" s="14"/>
      <c r="F25" s="1"/>
      <c r="G25" s="1"/>
      <c r="P25" s="14"/>
      <c r="Q25" s="1"/>
      <c r="R25" s="1"/>
    </row>
    <row r="26" spans="1:18" x14ac:dyDescent="0.2">
      <c r="B26" s="7" t="s">
        <v>21</v>
      </c>
      <c r="C26" s="17"/>
      <c r="D26" s="17"/>
      <c r="E26" s="17"/>
      <c r="F26" s="8">
        <f>SUM(F17:F25)</f>
        <v>18148504</v>
      </c>
      <c r="G26" s="8">
        <f>SUM(G17:G25)</f>
        <v>15310964</v>
      </c>
    </row>
    <row r="27" spans="1:18" ht="15.75" x14ac:dyDescent="0.25">
      <c r="A27" s="24" t="s">
        <v>52</v>
      </c>
      <c r="B27" s="27" t="s">
        <v>80</v>
      </c>
      <c r="F27" s="1"/>
    </row>
    <row r="28" spans="1:18" ht="15.75" x14ac:dyDescent="0.25">
      <c r="A28" s="24"/>
      <c r="B28" s="27"/>
    </row>
    <row r="29" spans="1:18" ht="15.75" x14ac:dyDescent="0.2">
      <c r="B29" s="25" t="s">
        <v>93</v>
      </c>
    </row>
    <row r="30" spans="1:18" ht="15.75" x14ac:dyDescent="0.2">
      <c r="B30" s="25" t="s">
        <v>147</v>
      </c>
    </row>
    <row r="31" spans="1:18" ht="15.75" x14ac:dyDescent="0.2">
      <c r="B31" s="25" t="s">
        <v>81</v>
      </c>
      <c r="C31" s="45" t="s">
        <v>82</v>
      </c>
      <c r="D31" s="45"/>
      <c r="E31" s="49"/>
      <c r="F31" s="3" t="s">
        <v>83</v>
      </c>
    </row>
    <row r="32" spans="1:18" ht="15.75" x14ac:dyDescent="0.2">
      <c r="B32" s="25" t="s">
        <v>131</v>
      </c>
      <c r="C32" s="46">
        <v>3151941</v>
      </c>
      <c r="D32" s="47"/>
      <c r="E32" s="50"/>
      <c r="F32" s="3" t="s">
        <v>84</v>
      </c>
    </row>
    <row r="33" spans="1:11" ht="15.75" x14ac:dyDescent="0.2">
      <c r="B33" s="25"/>
      <c r="C33" s="46"/>
      <c r="D33" s="47"/>
      <c r="E33" s="50"/>
      <c r="F33" s="3"/>
    </row>
    <row r="34" spans="1:11" ht="15.75" x14ac:dyDescent="0.25">
      <c r="A34" s="24" t="s">
        <v>101</v>
      </c>
      <c r="B34" s="27" t="s">
        <v>102</v>
      </c>
      <c r="C34" s="29"/>
      <c r="D34" s="29"/>
      <c r="E34" s="29"/>
      <c r="F34" s="3"/>
    </row>
    <row r="35" spans="1:11" ht="15.75" x14ac:dyDescent="0.2">
      <c r="B35" s="25" t="s">
        <v>103</v>
      </c>
      <c r="C35" s="29"/>
      <c r="D35" s="29"/>
      <c r="E35" s="29"/>
      <c r="F35" s="3"/>
    </row>
    <row r="36" spans="1:11" ht="15.75" x14ac:dyDescent="0.2">
      <c r="B36" s="25" t="s">
        <v>148</v>
      </c>
      <c r="F36" s="3"/>
    </row>
    <row r="37" spans="1:11" ht="15.75" x14ac:dyDescent="0.2">
      <c r="B37" s="25" t="s">
        <v>107</v>
      </c>
      <c r="F37" s="3"/>
    </row>
    <row r="38" spans="1:11" ht="15.75" x14ac:dyDescent="0.2">
      <c r="B38" s="25" t="s">
        <v>108</v>
      </c>
      <c r="F38" s="3"/>
    </row>
    <row r="39" spans="1:11" ht="15.75" x14ac:dyDescent="0.2">
      <c r="B39" s="25"/>
      <c r="F39" s="3"/>
    </row>
    <row r="40" spans="1:11" ht="15.75" x14ac:dyDescent="0.25">
      <c r="A40" s="16" t="s">
        <v>100</v>
      </c>
      <c r="B40" s="27" t="s">
        <v>114</v>
      </c>
    </row>
    <row r="41" spans="1:11" ht="15.75" x14ac:dyDescent="0.2">
      <c r="B41" s="25"/>
    </row>
    <row r="42" spans="1:11" ht="15.75" x14ac:dyDescent="0.2">
      <c r="B42" s="25"/>
      <c r="C42" s="2">
        <v>2019</v>
      </c>
      <c r="D42" s="2"/>
      <c r="E42" s="2"/>
      <c r="F42" s="2">
        <v>2018</v>
      </c>
    </row>
    <row r="43" spans="1:11" ht="15.75" x14ac:dyDescent="0.2">
      <c r="B43" s="25"/>
      <c r="H43" s="25"/>
      <c r="J43" s="25"/>
    </row>
    <row r="44" spans="1:11" ht="15.75" x14ac:dyDescent="0.2">
      <c r="B44" s="25" t="s">
        <v>116</v>
      </c>
      <c r="C44" s="40">
        <f>6692273-886122</f>
        <v>5806151</v>
      </c>
      <c r="D44" s="40"/>
      <c r="E44" s="40"/>
      <c r="F44" s="40">
        <v>4523935</v>
      </c>
      <c r="I44" s="25"/>
      <c r="J44" s="25"/>
    </row>
    <row r="45" spans="1:11" ht="15.75" x14ac:dyDescent="0.2">
      <c r="B45" s="25" t="s">
        <v>117</v>
      </c>
      <c r="C45" s="40">
        <f>714804+43269</f>
        <v>758073</v>
      </c>
      <c r="D45" s="40"/>
      <c r="E45" s="40"/>
      <c r="F45" s="40">
        <v>555910</v>
      </c>
      <c r="H45" s="25"/>
      <c r="I45" s="25"/>
    </row>
    <row r="46" spans="1:11" ht="15.75" x14ac:dyDescent="0.2">
      <c r="B46" s="25" t="s">
        <v>118</v>
      </c>
      <c r="C46" s="40">
        <v>128049</v>
      </c>
      <c r="D46" s="40"/>
      <c r="E46" s="40"/>
      <c r="F46" s="40">
        <v>89216</v>
      </c>
      <c r="H46" s="25"/>
      <c r="J46" s="25"/>
    </row>
    <row r="47" spans="1:11" ht="15.75" x14ac:dyDescent="0.2">
      <c r="B47" s="25" t="s">
        <v>119</v>
      </c>
      <c r="C47" s="40">
        <v>0</v>
      </c>
      <c r="D47" s="40"/>
      <c r="E47" s="40"/>
      <c r="F47" s="40">
        <v>0</v>
      </c>
      <c r="I47" s="25"/>
      <c r="J47" s="25"/>
    </row>
    <row r="48" spans="1:11" ht="15.75" x14ac:dyDescent="0.2">
      <c r="B48" s="25" t="s">
        <v>65</v>
      </c>
      <c r="C48" s="40">
        <f>SUM(C44:C47)</f>
        <v>6692273</v>
      </c>
      <c r="D48" s="40"/>
      <c r="E48" s="40"/>
      <c r="F48" s="40">
        <f>SUM(F44:F47)</f>
        <v>5169061</v>
      </c>
      <c r="J48" s="25"/>
      <c r="K48" s="25"/>
    </row>
    <row r="49" spans="1:9" ht="15.75" x14ac:dyDescent="0.2">
      <c r="B49" s="25"/>
      <c r="C49" s="1"/>
      <c r="D49" s="1"/>
      <c r="E49" s="1"/>
      <c r="F49" s="1"/>
    </row>
    <row r="50" spans="1:9" ht="15.75" x14ac:dyDescent="0.2">
      <c r="B50" s="42" t="s">
        <v>149</v>
      </c>
      <c r="C50" s="43"/>
      <c r="D50" s="43"/>
      <c r="E50" s="43"/>
      <c r="F50" s="43"/>
    </row>
    <row r="51" spans="1:9" ht="15.75" x14ac:dyDescent="0.2">
      <c r="B51" s="42" t="s">
        <v>150</v>
      </c>
      <c r="C51" s="43"/>
      <c r="D51" s="43"/>
      <c r="E51" s="43"/>
      <c r="F51" s="43"/>
    </row>
    <row r="52" spans="1:9" ht="15.75" x14ac:dyDescent="0.2">
      <c r="B52" s="25" t="s">
        <v>94</v>
      </c>
      <c r="C52" s="8"/>
      <c r="D52" s="8"/>
      <c r="E52" s="8"/>
      <c r="F52" s="8"/>
    </row>
    <row r="53" spans="1:9" ht="15.75" x14ac:dyDescent="0.2">
      <c r="B53" s="25" t="s">
        <v>95</v>
      </c>
      <c r="C53" s="8"/>
      <c r="D53" s="8"/>
      <c r="E53" s="8"/>
      <c r="F53" s="8"/>
    </row>
    <row r="54" spans="1:9" ht="15.75" x14ac:dyDescent="0.25">
      <c r="B54" s="26" t="s">
        <v>96</v>
      </c>
      <c r="C54" s="8"/>
      <c r="D54" s="8"/>
      <c r="E54" s="8"/>
      <c r="F54" s="8"/>
    </row>
    <row r="55" spans="1:9" ht="15.75" x14ac:dyDescent="0.25">
      <c r="B55" s="26" t="s">
        <v>95</v>
      </c>
      <c r="C55" s="8"/>
      <c r="D55" s="8"/>
      <c r="E55" s="8"/>
      <c r="F55" s="8"/>
    </row>
    <row r="56" spans="1:9" ht="15.75" x14ac:dyDescent="0.25">
      <c r="B56" s="26" t="s">
        <v>151</v>
      </c>
      <c r="C56" s="8"/>
      <c r="D56" s="8"/>
      <c r="E56" s="8"/>
      <c r="F56" s="8"/>
    </row>
    <row r="57" spans="1:9" ht="15.75" x14ac:dyDescent="0.25">
      <c r="B57" s="26" t="s">
        <v>57</v>
      </c>
      <c r="C57" s="8"/>
      <c r="D57" s="8"/>
      <c r="E57" s="8"/>
      <c r="F57" s="8"/>
    </row>
    <row r="58" spans="1:9" x14ac:dyDescent="0.2">
      <c r="B58" s="3"/>
      <c r="C58" s="8"/>
      <c r="D58" s="8"/>
      <c r="E58" s="8"/>
      <c r="F58" s="8"/>
    </row>
    <row r="59" spans="1:9" ht="15.75" x14ac:dyDescent="0.25">
      <c r="B59" s="16" t="s">
        <v>53</v>
      </c>
    </row>
    <row r="61" spans="1:9" x14ac:dyDescent="0.2">
      <c r="B61" s="3" t="s">
        <v>60</v>
      </c>
    </row>
    <row r="62" spans="1:9" x14ac:dyDescent="0.2">
      <c r="B62" s="3"/>
    </row>
    <row r="63" spans="1:9" ht="15.75" x14ac:dyDescent="0.25">
      <c r="A63" s="16" t="s">
        <v>85</v>
      </c>
      <c r="B63" s="16" t="s">
        <v>43</v>
      </c>
      <c r="C63" s="16"/>
      <c r="D63" s="16"/>
      <c r="E63" s="16"/>
      <c r="F63" s="16"/>
      <c r="G63" s="16"/>
    </row>
    <row r="64" spans="1:9" x14ac:dyDescent="0.2">
      <c r="B64" s="7"/>
      <c r="C64" s="19" t="s">
        <v>110</v>
      </c>
      <c r="D64" s="19" t="s">
        <v>127</v>
      </c>
      <c r="E64" s="19" t="s">
        <v>137</v>
      </c>
      <c r="F64" s="19" t="s">
        <v>140</v>
      </c>
      <c r="G64" s="7"/>
      <c r="H64" s="7"/>
      <c r="I64" s="7" t="s">
        <v>115</v>
      </c>
    </row>
    <row r="65" spans="1:17" x14ac:dyDescent="0.2">
      <c r="B65" s="7"/>
      <c r="C65" s="19" t="s">
        <v>111</v>
      </c>
      <c r="D65" s="19" t="s">
        <v>128</v>
      </c>
      <c r="E65" s="19" t="s">
        <v>138</v>
      </c>
      <c r="F65" s="19"/>
      <c r="G65" s="7"/>
      <c r="H65" s="7"/>
    </row>
    <row r="66" spans="1:17" x14ac:dyDescent="0.2">
      <c r="B66" s="7"/>
      <c r="C66" s="19"/>
      <c r="D66" s="19" t="s">
        <v>129</v>
      </c>
      <c r="E66" s="19"/>
      <c r="F66" s="19"/>
      <c r="G66" s="7"/>
      <c r="H66" s="7"/>
    </row>
    <row r="67" spans="1:17" x14ac:dyDescent="0.2">
      <c r="B67" s="7"/>
      <c r="C67" s="19"/>
      <c r="D67" s="19"/>
      <c r="E67" s="19"/>
      <c r="F67" s="19"/>
      <c r="G67" s="7"/>
      <c r="H67" s="7"/>
    </row>
    <row r="68" spans="1:17" x14ac:dyDescent="0.2">
      <c r="B68" s="3" t="s">
        <v>47</v>
      </c>
      <c r="C68" s="1">
        <v>161456</v>
      </c>
      <c r="D68" s="1">
        <v>1875794</v>
      </c>
      <c r="E68" s="1"/>
      <c r="F68" s="1">
        <f>710363+196158+648897</f>
        <v>1555418</v>
      </c>
      <c r="G68" s="29"/>
      <c r="H68" s="29"/>
      <c r="I68" s="1">
        <f>SUM(C68:H68)</f>
        <v>3592668</v>
      </c>
    </row>
    <row r="69" spans="1:17" x14ac:dyDescent="0.2">
      <c r="B69" s="3" t="s">
        <v>48</v>
      </c>
      <c r="C69" s="1">
        <f>5208776-161456</f>
        <v>5047320</v>
      </c>
      <c r="D69" s="1"/>
      <c r="E69" s="1">
        <v>2786449</v>
      </c>
      <c r="F69" s="1">
        <f>60000+208480.01</f>
        <v>268480.01</v>
      </c>
      <c r="G69" s="29"/>
      <c r="H69" s="29"/>
      <c r="I69" s="1">
        <f t="shared" ref="I69:I76" si="0">SUM(C69:H69)</f>
        <v>8102249.0099999998</v>
      </c>
    </row>
    <row r="70" spans="1:17" x14ac:dyDescent="0.2">
      <c r="B70" s="3" t="s">
        <v>49</v>
      </c>
      <c r="C70" s="1"/>
      <c r="D70" s="1">
        <f>-1875794+781794+66826</f>
        <v>-1027174</v>
      </c>
      <c r="E70" s="1"/>
      <c r="F70" s="1">
        <v>0</v>
      </c>
      <c r="G70" s="29"/>
      <c r="I70" s="1">
        <f t="shared" si="0"/>
        <v>-1027174</v>
      </c>
    </row>
    <row r="71" spans="1:17" x14ac:dyDescent="0.2">
      <c r="B71" s="3" t="s">
        <v>130</v>
      </c>
      <c r="C71" s="1">
        <f>SUM(C68:C70)</f>
        <v>5208776</v>
      </c>
      <c r="D71" s="1">
        <f t="shared" ref="D71:F71" si="1">SUM(D68:D70)</f>
        <v>848620</v>
      </c>
      <c r="E71" s="1">
        <f t="shared" si="1"/>
        <v>2786449</v>
      </c>
      <c r="F71" s="1">
        <f t="shared" si="1"/>
        <v>1823898.01</v>
      </c>
      <c r="G71" s="1"/>
      <c r="H71" s="1"/>
      <c r="I71" s="1">
        <f t="shared" si="0"/>
        <v>10667743.01</v>
      </c>
    </row>
    <row r="72" spans="1:17" x14ac:dyDescent="0.2">
      <c r="B72" s="3" t="s">
        <v>50</v>
      </c>
      <c r="C72" s="1">
        <v>0</v>
      </c>
      <c r="D72" s="1">
        <v>0</v>
      </c>
      <c r="E72" s="1"/>
      <c r="F72" s="1">
        <f>-1615418+278040</f>
        <v>-1337378</v>
      </c>
      <c r="G72" s="29"/>
      <c r="H72" s="29"/>
      <c r="I72" s="1">
        <f t="shared" si="0"/>
        <v>-1337378</v>
      </c>
    </row>
    <row r="73" spans="1:17" x14ac:dyDescent="0.2">
      <c r="B73" s="3" t="s">
        <v>51</v>
      </c>
      <c r="C73" s="20">
        <v>5208776</v>
      </c>
      <c r="D73" s="20">
        <f>D71-D75</f>
        <v>848620</v>
      </c>
      <c r="E73" s="20">
        <f>E71-E75</f>
        <v>2786449</v>
      </c>
      <c r="F73" s="20">
        <f t="shared" ref="F73" si="2">SUM(F71:F72)</f>
        <v>486520.01</v>
      </c>
      <c r="G73" s="20"/>
      <c r="H73" s="20"/>
      <c r="I73" s="20">
        <f>SUM(C73:H73)+1</f>
        <v>9330366.0099999998</v>
      </c>
      <c r="L73" s="1"/>
    </row>
    <row r="74" spans="1:17" x14ac:dyDescent="0.2">
      <c r="B74" s="3" t="s">
        <v>61</v>
      </c>
      <c r="C74" s="29">
        <v>0</v>
      </c>
      <c r="D74" s="29">
        <v>0</v>
      </c>
      <c r="E74" s="29"/>
      <c r="F74" s="29">
        <v>297449</v>
      </c>
      <c r="G74" s="29"/>
      <c r="H74" s="29"/>
      <c r="I74" s="1">
        <f t="shared" si="0"/>
        <v>297449</v>
      </c>
      <c r="K74" s="48"/>
    </row>
    <row r="75" spans="1:17" x14ac:dyDescent="0.2">
      <c r="B75" s="3"/>
      <c r="C75" s="29"/>
      <c r="D75" s="29">
        <v>0</v>
      </c>
      <c r="E75" s="29"/>
      <c r="F75" s="29"/>
      <c r="G75" s="29"/>
      <c r="H75" s="29"/>
      <c r="I75" s="1"/>
      <c r="K75" s="3"/>
      <c r="L75" s="1"/>
      <c r="O75">
        <f>297449-297336</f>
        <v>113</v>
      </c>
    </row>
    <row r="76" spans="1:17" x14ac:dyDescent="0.2">
      <c r="B76" s="7" t="s">
        <v>136</v>
      </c>
      <c r="C76" s="8">
        <v>0</v>
      </c>
      <c r="D76" s="8"/>
      <c r="E76" s="8"/>
      <c r="F76" s="8">
        <v>0</v>
      </c>
      <c r="G76" s="7"/>
      <c r="I76" s="1">
        <f t="shared" si="0"/>
        <v>0</v>
      </c>
      <c r="N76" s="44"/>
      <c r="O76" s="3"/>
    </row>
    <row r="77" spans="1:17" x14ac:dyDescent="0.2">
      <c r="B77" s="7"/>
      <c r="C77" s="8"/>
      <c r="D77" s="8"/>
      <c r="E77" s="8"/>
      <c r="F77" s="8"/>
      <c r="Q77" s="1"/>
    </row>
    <row r="78" spans="1:17" ht="15.75" x14ac:dyDescent="0.25">
      <c r="A78" s="24" t="s">
        <v>86</v>
      </c>
      <c r="B78" s="3" t="s">
        <v>152</v>
      </c>
      <c r="C78" s="8"/>
      <c r="D78" s="8"/>
      <c r="E78" s="8"/>
      <c r="F78" s="8"/>
    </row>
    <row r="79" spans="1:17" x14ac:dyDescent="0.2">
      <c r="B79" s="3" t="s">
        <v>112</v>
      </c>
      <c r="C79" s="22">
        <v>281061.75</v>
      </c>
      <c r="D79" s="22"/>
      <c r="E79" s="22"/>
      <c r="F79" s="8"/>
      <c r="Q79" s="1"/>
    </row>
    <row r="80" spans="1:17" ht="15.75" x14ac:dyDescent="0.25">
      <c r="A80" s="16"/>
      <c r="B80" s="3" t="s">
        <v>113</v>
      </c>
      <c r="C80" s="22">
        <v>243400</v>
      </c>
      <c r="D80" s="22"/>
      <c r="E80" s="22"/>
      <c r="F80" s="1"/>
    </row>
    <row r="81" spans="1:16" ht="15.75" x14ac:dyDescent="0.25">
      <c r="A81" s="16"/>
      <c r="B81" s="3" t="s">
        <v>153</v>
      </c>
      <c r="C81" s="1"/>
      <c r="D81" s="1"/>
      <c r="E81" s="1"/>
      <c r="F81" s="1"/>
    </row>
    <row r="82" spans="1:16" ht="15.75" x14ac:dyDescent="0.25">
      <c r="A82" s="16"/>
      <c r="B82" s="3"/>
      <c r="C82" s="1"/>
      <c r="D82" s="1"/>
      <c r="E82" s="1"/>
      <c r="F82" s="1"/>
    </row>
    <row r="83" spans="1:16" ht="15.75" x14ac:dyDescent="0.25">
      <c r="A83" s="24" t="s">
        <v>87</v>
      </c>
      <c r="B83" s="16" t="s">
        <v>55</v>
      </c>
      <c r="O83" s="44"/>
      <c r="P83" s="3"/>
    </row>
    <row r="84" spans="1:16" ht="15.75" x14ac:dyDescent="0.25">
      <c r="B84" s="16"/>
      <c r="G84" t="s">
        <v>58</v>
      </c>
      <c r="I84" s="3" t="s">
        <v>65</v>
      </c>
    </row>
    <row r="85" spans="1:16" ht="15.75" x14ac:dyDescent="0.25">
      <c r="B85" s="21" t="s">
        <v>154</v>
      </c>
      <c r="C85" s="23">
        <v>2023438</v>
      </c>
      <c r="D85" s="22"/>
      <c r="E85" s="22"/>
      <c r="F85" s="3"/>
      <c r="G85" s="30">
        <v>195191</v>
      </c>
      <c r="I85" s="29">
        <f>C85+G85</f>
        <v>2218629</v>
      </c>
    </row>
    <row r="86" spans="1:16" ht="15.75" x14ac:dyDescent="0.25">
      <c r="B86" s="21" t="s">
        <v>155</v>
      </c>
      <c r="C86" s="52">
        <v>2327811</v>
      </c>
      <c r="D86" s="22"/>
      <c r="E86" s="22"/>
      <c r="F86" s="3"/>
      <c r="G86" s="53"/>
      <c r="I86" s="29">
        <f>C86+G86</f>
        <v>2327811</v>
      </c>
    </row>
    <row r="87" spans="1:16" ht="15.75" x14ac:dyDescent="0.25">
      <c r="B87" s="21" t="s">
        <v>54</v>
      </c>
      <c r="C87" s="22">
        <f>Resultat!D45</f>
        <v>-582500.09999999776</v>
      </c>
      <c r="D87" s="22"/>
      <c r="E87" s="22"/>
      <c r="F87" s="3"/>
      <c r="G87" s="29">
        <v>0</v>
      </c>
      <c r="I87" s="29">
        <f>C87+G87</f>
        <v>-582500.09999999776</v>
      </c>
    </row>
    <row r="88" spans="1:16" ht="15.75" x14ac:dyDescent="0.25">
      <c r="B88" s="21" t="s">
        <v>156</v>
      </c>
      <c r="C88" s="23">
        <f>SUM(C85:C87)</f>
        <v>3768748.9000000022</v>
      </c>
      <c r="D88" s="22"/>
      <c r="E88" s="22"/>
      <c r="F88" s="3"/>
      <c r="G88" s="30">
        <v>195191</v>
      </c>
      <c r="I88" s="29">
        <f>SUM(I85:I87)</f>
        <v>3963939.9000000022</v>
      </c>
    </row>
    <row r="89" spans="1:16" ht="15.75" x14ac:dyDescent="0.25">
      <c r="B89" s="21"/>
      <c r="C89" s="22"/>
      <c r="D89" s="22"/>
      <c r="E89" s="22"/>
      <c r="F89" s="3"/>
    </row>
    <row r="90" spans="1:16" x14ac:dyDescent="0.2">
      <c r="A90" s="2" t="s">
        <v>104</v>
      </c>
      <c r="B90" s="2" t="s">
        <v>66</v>
      </c>
      <c r="F90" s="3"/>
    </row>
    <row r="91" spans="1:16" ht="15.75" x14ac:dyDescent="0.2">
      <c r="B91" s="25" t="s">
        <v>97</v>
      </c>
    </row>
    <row r="92" spans="1:16" ht="15.75" x14ac:dyDescent="0.2">
      <c r="B92" s="25" t="s">
        <v>98</v>
      </c>
    </row>
    <row r="93" spans="1:16" x14ac:dyDescent="0.2">
      <c r="C93">
        <v>2019</v>
      </c>
      <c r="G93">
        <v>2018</v>
      </c>
    </row>
    <row r="94" spans="1:16" ht="15.75" x14ac:dyDescent="0.2">
      <c r="B94" s="25" t="s">
        <v>62</v>
      </c>
    </row>
    <row r="95" spans="1:16" ht="15.75" x14ac:dyDescent="0.2">
      <c r="B95" s="25" t="s">
        <v>63</v>
      </c>
    </row>
    <row r="96" spans="1:16" ht="15.75" x14ac:dyDescent="0.25">
      <c r="B96" s="25" t="s">
        <v>64</v>
      </c>
      <c r="C96" s="34">
        <v>53587</v>
      </c>
      <c r="D96" s="34"/>
      <c r="E96" s="34"/>
      <c r="F96" s="26"/>
      <c r="G96" s="34">
        <v>29648</v>
      </c>
      <c r="H96" s="25"/>
      <c r="J96" s="25"/>
    </row>
    <row r="97" spans="1:11" ht="15.75" x14ac:dyDescent="0.25">
      <c r="B97" s="25" t="s">
        <v>65</v>
      </c>
      <c r="C97" s="34">
        <v>53587</v>
      </c>
      <c r="D97" s="34"/>
      <c r="E97" s="34"/>
      <c r="F97" s="26"/>
      <c r="G97" s="35">
        <v>29648</v>
      </c>
      <c r="H97" s="26"/>
      <c r="I97" s="25"/>
    </row>
    <row r="98" spans="1:11" ht="15.75" x14ac:dyDescent="0.25">
      <c r="B98" s="25"/>
      <c r="C98" s="34"/>
      <c r="D98" s="34"/>
      <c r="E98" s="34"/>
      <c r="F98" s="26"/>
      <c r="G98" s="25"/>
      <c r="H98" s="26"/>
      <c r="I98" s="25"/>
    </row>
    <row r="99" spans="1:11" ht="15.75" x14ac:dyDescent="0.25">
      <c r="A99" s="2" t="s">
        <v>105</v>
      </c>
      <c r="B99" s="27" t="s">
        <v>67</v>
      </c>
      <c r="C99" s="26"/>
      <c r="D99" s="26"/>
      <c r="E99" s="26"/>
      <c r="F99" s="26"/>
      <c r="G99" s="25">
        <v>2019</v>
      </c>
      <c r="H99" s="26">
        <v>2018</v>
      </c>
      <c r="I99" s="25"/>
    </row>
    <row r="100" spans="1:11" ht="15.75" x14ac:dyDescent="0.25">
      <c r="B100" s="25" t="s">
        <v>68</v>
      </c>
      <c r="C100" s="26"/>
      <c r="D100" s="26"/>
      <c r="E100" s="26"/>
      <c r="F100" s="26"/>
      <c r="G100" s="33">
        <v>0</v>
      </c>
      <c r="H100" s="33">
        <v>0</v>
      </c>
      <c r="I100" s="26"/>
      <c r="J100" s="25"/>
    </row>
    <row r="101" spans="1:11" ht="15.75" x14ac:dyDescent="0.25">
      <c r="A101" s="16"/>
      <c r="B101" s="25" t="s">
        <v>69</v>
      </c>
      <c r="F101" s="3"/>
      <c r="G101" s="32">
        <v>0</v>
      </c>
      <c r="H101" s="32">
        <v>0</v>
      </c>
    </row>
    <row r="102" spans="1:11" ht="15.75" x14ac:dyDescent="0.2">
      <c r="B102" s="25" t="s">
        <v>70</v>
      </c>
      <c r="F102" s="3"/>
      <c r="G102" s="32">
        <v>0</v>
      </c>
      <c r="H102" s="32">
        <v>0</v>
      </c>
    </row>
    <row r="103" spans="1:11" ht="15.75" x14ac:dyDescent="0.25">
      <c r="B103" s="25" t="s">
        <v>71</v>
      </c>
      <c r="C103" s="26"/>
      <c r="D103" s="26"/>
      <c r="E103" s="26"/>
      <c r="G103" s="33">
        <v>0</v>
      </c>
      <c r="H103" s="33">
        <v>0</v>
      </c>
      <c r="K103" s="25"/>
    </row>
    <row r="104" spans="1:11" ht="15.75" x14ac:dyDescent="0.25">
      <c r="B104" s="25" t="s">
        <v>72</v>
      </c>
      <c r="C104" s="26"/>
      <c r="D104" s="26"/>
      <c r="E104" s="26"/>
      <c r="G104" s="25"/>
      <c r="H104" s="25"/>
      <c r="K104" s="25"/>
    </row>
    <row r="105" spans="1:11" ht="15.75" x14ac:dyDescent="0.25">
      <c r="C105" s="26"/>
      <c r="D105" s="26"/>
      <c r="E105" s="26"/>
      <c r="F105" s="25"/>
      <c r="G105" s="25"/>
      <c r="I105" s="25"/>
    </row>
    <row r="106" spans="1:11" ht="15.75" x14ac:dyDescent="0.25">
      <c r="A106" s="24" t="s">
        <v>106</v>
      </c>
      <c r="B106" s="2" t="s">
        <v>88</v>
      </c>
    </row>
    <row r="107" spans="1:11" ht="15.75" x14ac:dyDescent="0.25">
      <c r="B107" s="26" t="s">
        <v>99</v>
      </c>
    </row>
    <row r="108" spans="1:11" x14ac:dyDescent="0.2">
      <c r="B108" s="3" t="s">
        <v>157</v>
      </c>
    </row>
    <row r="111" spans="1:11" ht="15.75" x14ac:dyDescent="0.25">
      <c r="A111" s="16"/>
    </row>
    <row r="112" spans="1:11" ht="15.75" x14ac:dyDescent="0.25">
      <c r="A112" s="16"/>
    </row>
    <row r="113" spans="1:1" ht="15.75" x14ac:dyDescent="0.25">
      <c r="A113" s="16"/>
    </row>
    <row r="114" spans="1:1" ht="15.75" x14ac:dyDescent="0.25">
      <c r="A114" s="16"/>
    </row>
    <row r="115" spans="1:1" ht="15.75" x14ac:dyDescent="0.25">
      <c r="A115" s="16"/>
    </row>
    <row r="116" spans="1:1" ht="15.75" x14ac:dyDescent="0.25">
      <c r="A116" s="16"/>
    </row>
    <row r="117" spans="1:1" ht="15.75" x14ac:dyDescent="0.25">
      <c r="A117" s="16"/>
    </row>
    <row r="118" spans="1:1" ht="15.75" x14ac:dyDescent="0.25">
      <c r="A118" s="16"/>
    </row>
    <row r="119" spans="1:1" ht="15.75" x14ac:dyDescent="0.25">
      <c r="A119" s="16"/>
    </row>
    <row r="120" spans="1:1" ht="15.75" x14ac:dyDescent="0.25">
      <c r="A120" s="16"/>
    </row>
    <row r="121" spans="1:1" ht="15.75" x14ac:dyDescent="0.25">
      <c r="A121" s="16"/>
    </row>
    <row r="122" spans="1:1" ht="15.75" x14ac:dyDescent="0.25">
      <c r="A122" s="16"/>
    </row>
    <row r="123" spans="1:1" ht="15.75" x14ac:dyDescent="0.25">
      <c r="A123" s="16"/>
    </row>
    <row r="124" spans="1:1" ht="15.75" x14ac:dyDescent="0.25">
      <c r="A124" s="16"/>
    </row>
    <row r="125" spans="1:1" ht="15.75" x14ac:dyDescent="0.25">
      <c r="A125" s="16"/>
    </row>
    <row r="126" spans="1:1" ht="15.75" x14ac:dyDescent="0.25">
      <c r="A126" s="16"/>
    </row>
    <row r="127" spans="1:1" ht="15.75" x14ac:dyDescent="0.25">
      <c r="A127" s="16"/>
    </row>
    <row r="128" spans="1:1" ht="15.75" x14ac:dyDescent="0.25">
      <c r="A128" s="16"/>
    </row>
    <row r="129" spans="1:1" ht="15.75" x14ac:dyDescent="0.25">
      <c r="A129" s="16"/>
    </row>
    <row r="130" spans="1:1" ht="15.75" x14ac:dyDescent="0.25">
      <c r="A130" s="16"/>
    </row>
    <row r="131" spans="1:1" ht="15.75" x14ac:dyDescent="0.25">
      <c r="A131" s="16"/>
    </row>
    <row r="132" spans="1:1" ht="15.75" x14ac:dyDescent="0.25">
      <c r="A132" s="16"/>
    </row>
  </sheetData>
  <mergeCells count="3">
    <mergeCell ref="A2:G2"/>
    <mergeCell ref="B4:G4"/>
    <mergeCell ref="B8:G8"/>
  </mergeCells>
  <pageMargins left="0.70866141732283472" right="0.70866141732283472" top="0.74803149606299213" bottom="0.39370078740157483" header="0.31496062992125984" footer="0.31496062992125984"/>
  <pageSetup paperSize="9" orientation="portrait" r:id="rId1"/>
  <rowBreaks count="1" manualBreakCount="1">
    <brk id="13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95D36C380E1A4B95CD7257FDF81BF7" ma:contentTypeVersion="10" ma:contentTypeDescription="Opprett et nytt dokument." ma:contentTypeScope="" ma:versionID="7304dd00b08873ea573d67b63cdba1d3">
  <xsd:schema xmlns:xsd="http://www.w3.org/2001/XMLSchema" xmlns:xs="http://www.w3.org/2001/XMLSchema" xmlns:p="http://schemas.microsoft.com/office/2006/metadata/properties" xmlns:ns2="e6287ac7-88fe-4b99-86bc-5ae4e36baf37" xmlns:ns3="54133af7-3471-4ed7-8292-4983a5cd9ad4" targetNamespace="http://schemas.microsoft.com/office/2006/metadata/properties" ma:root="true" ma:fieldsID="1f428c8f4ecca8ff4538d288c58a0d5f" ns2:_="" ns3:_="">
    <xsd:import namespace="e6287ac7-88fe-4b99-86bc-5ae4e36baf37"/>
    <xsd:import namespace="54133af7-3471-4ed7-8292-4983a5cd9a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87ac7-88fe-4b99-86bc-5ae4e36ba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33af7-3471-4ed7-8292-4983a5cd9ad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CFF2E3-B482-49B8-B9A5-659CA968D2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302160-B450-4F56-9C87-43D7EEA665E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1E762A2-9952-429A-9D42-BD42959B01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287ac7-88fe-4b99-86bc-5ae4e36baf37"/>
    <ds:schemaRef ds:uri="54133af7-3471-4ed7-8292-4983a5cd9a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8</vt:i4>
      </vt:variant>
    </vt:vector>
  </HeadingPairs>
  <TitlesOfParts>
    <vt:vector size="11" baseType="lpstr">
      <vt:lpstr>Resultat</vt:lpstr>
      <vt:lpstr>Balanse</vt:lpstr>
      <vt:lpstr>Noter</vt:lpstr>
      <vt:lpstr>Balanse!asac</vt:lpstr>
      <vt:lpstr>Balanse!ddddd</vt:lpstr>
      <vt:lpstr>Noter!fdfd</vt:lpstr>
      <vt:lpstr>Balanse!Print_Area</vt:lpstr>
      <vt:lpstr>Noter!Print_Area</vt:lpstr>
      <vt:lpstr>Resultat!Print_Area</vt:lpstr>
      <vt:lpstr>Noter!Print_Titles</vt:lpstr>
      <vt:lpstr>Balanse!Utskriftsområde</vt:lpstr>
    </vt:vector>
  </TitlesOfParts>
  <Company>Lindorff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Belsnes</dc:creator>
  <cp:lastModifiedBy>Marianne Fjelberg</cp:lastModifiedBy>
  <cp:lastPrinted>2020-03-24T14:26:21Z</cp:lastPrinted>
  <dcterms:created xsi:type="dcterms:W3CDTF">2009-05-11T06:13:07Z</dcterms:created>
  <dcterms:modified xsi:type="dcterms:W3CDTF">2020-06-04T12:58:59Z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2009-05-13 16:31:36</vt:lpwstr>
  </property>
  <property fmtid="{D5CDD505-2E9C-101B-9397-08002B2CF9AE}" pid="3" name="ContentTypeId">
    <vt:lpwstr>0x0101008395D36C380E1A4B95CD7257FDF81BF7</vt:lpwstr>
  </property>
</Properties>
</file>