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te.GLITRE\Dropbox (Privat)\FISKUM IL\Årsmøte_2016\"/>
    </mc:Choice>
  </mc:AlternateContent>
  <bookViews>
    <workbookView xWindow="0" yWindow="0" windowWidth="24000" windowHeight="9345" activeTab="2"/>
  </bookViews>
  <sheets>
    <sheet name="Balanse" sheetId="2" r:id="rId1"/>
    <sheet name="Resultat" sheetId="3" r:id="rId2"/>
    <sheet name="Budsjett 2017" sheetId="1" r:id="rId3"/>
    <sheet name="Ark1" sheetId="4" r:id="rId4"/>
  </sheets>
  <calcPr calcId="152511"/>
</workbook>
</file>

<file path=xl/calcChain.xml><?xml version="1.0" encoding="utf-8"?>
<calcChain xmlns="http://schemas.openxmlformats.org/spreadsheetml/2006/main">
  <c r="C45" i="1" l="1"/>
  <c r="C15" i="1"/>
  <c r="C45" i="3" l="1"/>
  <c r="C41" i="3"/>
  <c r="C39" i="3"/>
  <c r="C38" i="3"/>
  <c r="C34" i="3"/>
  <c r="C33" i="3"/>
  <c r="C46" i="3" s="1"/>
  <c r="C28" i="3"/>
  <c r="C21" i="3"/>
  <c r="C25" i="3" s="1"/>
  <c r="C23" i="3"/>
  <c r="C16" i="3"/>
  <c r="C17" i="3" s="1"/>
  <c r="C44" i="2"/>
  <c r="C25" i="2"/>
  <c r="C29" i="2" s="1"/>
  <c r="C31" i="2" s="1"/>
  <c r="C20" i="2"/>
  <c r="C14" i="2"/>
  <c r="C48" i="3" l="1"/>
  <c r="E43" i="2"/>
  <c r="E41" i="2"/>
  <c r="E44" i="2"/>
  <c r="E46" i="2" s="1"/>
  <c r="E29" i="2"/>
  <c r="E20" i="2"/>
  <c r="E14" i="2"/>
  <c r="E43" i="3"/>
  <c r="E41" i="3"/>
  <c r="E39" i="3"/>
  <c r="E38" i="3"/>
  <c r="E35" i="3"/>
  <c r="E34" i="3"/>
  <c r="E23" i="3"/>
  <c r="E21" i="3"/>
  <c r="E25" i="3" s="1"/>
  <c r="E7" i="3"/>
  <c r="E17" i="3" s="1"/>
  <c r="E28" i="3"/>
  <c r="E46" i="3" l="1"/>
  <c r="E31" i="2"/>
  <c r="E48" i="3"/>
  <c r="D18" i="2"/>
  <c r="D38" i="3"/>
  <c r="D28" i="3"/>
  <c r="D39" i="3"/>
  <c r="D46" i="3" s="1"/>
  <c r="D16" i="3"/>
  <c r="D17" i="3" s="1"/>
  <c r="D25" i="3"/>
  <c r="D48" i="3" l="1"/>
  <c r="D36" i="2" s="1"/>
  <c r="C36" i="2" l="1"/>
  <c r="C46" i="2" s="1"/>
  <c r="D29" i="2"/>
  <c r="C23" i="1" l="1"/>
  <c r="C25" i="1" l="1"/>
  <c r="C47" i="1" s="1"/>
  <c r="D44" i="2" l="1"/>
  <c r="D14" i="2" l="1"/>
  <c r="D20" i="2"/>
  <c r="D31" i="2" l="1"/>
  <c r="D46" i="2"/>
</calcChain>
</file>

<file path=xl/sharedStrings.xml><?xml version="1.0" encoding="utf-8"?>
<sst xmlns="http://schemas.openxmlformats.org/spreadsheetml/2006/main" count="112" uniqueCount="78">
  <si>
    <t>INNTEKTER</t>
  </si>
  <si>
    <t>Budsjett</t>
  </si>
  <si>
    <t>Sum driftsinntekter</t>
  </si>
  <si>
    <t>KOSTANDER</t>
  </si>
  <si>
    <t>Sum varekjøp</t>
  </si>
  <si>
    <t>Sum lønnskostnader</t>
  </si>
  <si>
    <t>revnovasjon, vann, avløp</t>
  </si>
  <si>
    <t>Lys/varme</t>
  </si>
  <si>
    <t>Reparasjon/vedlikehold bygning</t>
  </si>
  <si>
    <t>Vedlikehold utstyr</t>
  </si>
  <si>
    <t>kontorutgifter og data</t>
  </si>
  <si>
    <t>forsikring</t>
  </si>
  <si>
    <t>Øvrige kostander</t>
  </si>
  <si>
    <t>Resultat</t>
  </si>
  <si>
    <t>Balanse</t>
  </si>
  <si>
    <t>Eiendeler</t>
  </si>
  <si>
    <t>Sum eiendeler</t>
  </si>
  <si>
    <t>Fordringer</t>
  </si>
  <si>
    <t>Kundefordringer</t>
  </si>
  <si>
    <t>Forskudssbetalte leverandører</t>
  </si>
  <si>
    <t>Bankinnskudd og kontanter</t>
  </si>
  <si>
    <t>Bankinnskudd: Driftskonto</t>
  </si>
  <si>
    <t xml:space="preserve">                       Skattetrekkskonto</t>
  </si>
  <si>
    <t>Sum innskudd</t>
  </si>
  <si>
    <t>Gjeld og Egenkapital</t>
  </si>
  <si>
    <t>Egenkapital</t>
  </si>
  <si>
    <t>Leverandørgjeld</t>
  </si>
  <si>
    <t>Skyldig offentlig avgifter</t>
  </si>
  <si>
    <t>Sum kortsiktig gjeld</t>
  </si>
  <si>
    <t>Sum gjeld og egenkapital</t>
  </si>
  <si>
    <t>Annen kortsiktig gjeld</t>
  </si>
  <si>
    <t>Fiskum Idrettslag</t>
  </si>
  <si>
    <t>Diverse inntekter</t>
  </si>
  <si>
    <t>Kontingenter</t>
  </si>
  <si>
    <t>Reklame</t>
  </si>
  <si>
    <t>Grasrotandel</t>
  </si>
  <si>
    <t>Påmeldingsavgifter</t>
  </si>
  <si>
    <t>Tilskudd og overføringer</t>
  </si>
  <si>
    <t>Refusjon ØE Kommune</t>
  </si>
  <si>
    <t>Halleie mv</t>
  </si>
  <si>
    <t>Kjøp av mat, utstyr og gevinster</t>
  </si>
  <si>
    <t>Påmelding og lisensutgifter</t>
  </si>
  <si>
    <t>Inneleid hjelp etc</t>
  </si>
  <si>
    <t>Lønnsutgifter</t>
  </si>
  <si>
    <t>Bensin</t>
  </si>
  <si>
    <t>Annen kostnad lokaler</t>
  </si>
  <si>
    <t>Verktøy småutstyr etc</t>
  </si>
  <si>
    <t>Regnskapshonorar</t>
  </si>
  <si>
    <t>Bilgodtgjørelse, reiseutgifter</t>
  </si>
  <si>
    <t>Salgsutgifter</t>
  </si>
  <si>
    <t>Kontingenter og gaver</t>
  </si>
  <si>
    <t>Bank gebyr og andre utgifter</t>
  </si>
  <si>
    <t>Rentekostnader</t>
  </si>
  <si>
    <t>Renteinntekter</t>
  </si>
  <si>
    <t>SP Fiskumhytta</t>
  </si>
  <si>
    <t>SP Gapahuk/skileik</t>
  </si>
  <si>
    <t>SP 11 Kunstgress</t>
  </si>
  <si>
    <t>SP Lengdehopp</t>
  </si>
  <si>
    <t>SP Løpebane</t>
  </si>
  <si>
    <t>SP Terrengsykkel</t>
  </si>
  <si>
    <t xml:space="preserve">                       Hallkonto</t>
  </si>
  <si>
    <t>Forskudd erst.skiløype</t>
  </si>
  <si>
    <t xml:space="preserve">Resultat </t>
  </si>
  <si>
    <t>Idrettshus</t>
  </si>
  <si>
    <t>Lang siktig lån ØE Komm</t>
  </si>
  <si>
    <t>Salg Enjoy</t>
  </si>
  <si>
    <t>DropInn</t>
  </si>
  <si>
    <t>Varekjøp Enjoy</t>
  </si>
  <si>
    <t>Budsjett 2017</t>
  </si>
  <si>
    <t>Gevinster</t>
  </si>
  <si>
    <t>Lisensutgifter</t>
  </si>
  <si>
    <t>Fremmedytelser</t>
  </si>
  <si>
    <t>Leie utstyr</t>
  </si>
  <si>
    <t>Brøyte vei</t>
  </si>
  <si>
    <t>Vedlikehold løyper anlegg</t>
  </si>
  <si>
    <t>Andre kostnader</t>
  </si>
  <si>
    <t>Klær o.l</t>
  </si>
  <si>
    <t>Møte/kurs og oppdatering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</si>
</sst>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adley Hand ITC"/>
      <family val="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Bradley Hand ITC"/>
      <family val="4"/>
    </font>
    <font>
      <b/>
      <sz val="14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Bradley Hand ITC"/>
      <family val="4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Fill="1" applyBorder="1" applyAlignment="1">
      <alignment horizontal="left"/>
    </xf>
    <xf numFmtId="0" fontId="0" fillId="0" borderId="0" xfId="0" applyAlignment="1"/>
    <xf numFmtId="0" fontId="2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2" borderId="1" xfId="1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0" fillId="0" borderId="1" xfId="0" applyBorder="1" applyAlignment="1"/>
    <xf numFmtId="0" fontId="6" fillId="0" borderId="0" xfId="0" applyFont="1" applyFill="1" applyAlignment="1"/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164" fontId="0" fillId="0" borderId="0" xfId="1" applyNumberFormat="1" applyFont="1" applyAlignment="1"/>
    <xf numFmtId="0" fontId="8" fillId="0" borderId="0" xfId="0" applyFont="1" applyAlignment="1"/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164" fontId="0" fillId="0" borderId="1" xfId="1" applyNumberFormat="1" applyFont="1" applyBorder="1" applyAlignment="1"/>
    <xf numFmtId="164" fontId="5" fillId="2" borderId="1" xfId="1" applyNumberFormat="1" applyFont="1" applyFill="1" applyBorder="1" applyAlignment="1"/>
    <xf numFmtId="0" fontId="3" fillId="2" borderId="1" xfId="0" applyFont="1" applyFill="1" applyBorder="1" applyAlignment="1">
      <alignment horizontal="center" vertical="top"/>
    </xf>
    <xf numFmtId="164" fontId="0" fillId="0" borderId="0" xfId="0" applyNumberFormat="1"/>
    <xf numFmtId="0" fontId="10" fillId="2" borderId="1" xfId="0" applyFont="1" applyFill="1" applyBorder="1" applyAlignment="1">
      <alignment horizontal="left" vertical="top"/>
    </xf>
    <xf numFmtId="164" fontId="11" fillId="2" borderId="1" xfId="1" applyNumberFormat="1" applyFont="1" applyFill="1" applyBorder="1" applyAlignment="1"/>
    <xf numFmtId="164" fontId="0" fillId="0" borderId="0" xfId="1" applyNumberFormat="1" applyFont="1"/>
    <xf numFmtId="164" fontId="0" fillId="0" borderId="0" xfId="1" applyNumberFormat="1" applyFont="1" applyFill="1"/>
    <xf numFmtId="0" fontId="0" fillId="0" borderId="0" xfId="0" applyFont="1" applyAlignment="1"/>
    <xf numFmtId="0" fontId="0" fillId="0" borderId="0" xfId="0" applyFont="1"/>
    <xf numFmtId="164" fontId="0" fillId="0" borderId="0" xfId="0" applyNumberFormat="1" applyFont="1"/>
    <xf numFmtId="0" fontId="12" fillId="0" borderId="0" xfId="0" applyFont="1" applyFill="1" applyBorder="1" applyAlignment="1">
      <alignment horizontal="right"/>
    </xf>
    <xf numFmtId="0" fontId="12" fillId="0" borderId="0" xfId="0" applyFont="1" applyAlignment="1"/>
    <xf numFmtId="0" fontId="13" fillId="2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left" vertical="top"/>
    </xf>
    <xf numFmtId="164" fontId="12" fillId="2" borderId="1" xfId="1" applyNumberFormat="1" applyFont="1" applyFill="1" applyBorder="1" applyAlignment="1"/>
    <xf numFmtId="164" fontId="15" fillId="0" borderId="1" xfId="1" applyNumberFormat="1" applyFont="1" applyBorder="1" applyAlignment="1"/>
    <xf numFmtId="164" fontId="12" fillId="2" borderId="1" xfId="1" applyNumberFormat="1" applyFont="1" applyFill="1" applyBorder="1"/>
    <xf numFmtId="165" fontId="0" fillId="0" borderId="1" xfId="1" applyNumberFormat="1" applyFont="1" applyBorder="1"/>
    <xf numFmtId="0" fontId="3" fillId="0" borderId="0" xfId="0" applyFont="1" applyFill="1" applyBorder="1" applyAlignment="1">
      <alignment horizontal="left" vertical="top"/>
    </xf>
    <xf numFmtId="164" fontId="5" fillId="0" borderId="0" xfId="1" applyNumberFormat="1" applyFont="1" applyFill="1" applyBorder="1"/>
    <xf numFmtId="165" fontId="0" fillId="0" borderId="1" xfId="1" applyNumberFormat="1" applyFont="1" applyBorder="1" applyAlignment="1"/>
    <xf numFmtId="164" fontId="0" fillId="0" borderId="0" xfId="1" applyNumberFormat="1" applyFont="1" applyBorder="1" applyAlignment="1"/>
    <xf numFmtId="164" fontId="15" fillId="0" borderId="0" xfId="1" applyNumberFormat="1" applyFont="1" applyBorder="1" applyAlignment="1"/>
    <xf numFmtId="0" fontId="0" fillId="0" borderId="0" xfId="0" applyBorder="1"/>
    <xf numFmtId="0" fontId="0" fillId="0" borderId="0" xfId="0" applyFont="1" applyFill="1" applyBorder="1"/>
    <xf numFmtId="165" fontId="0" fillId="0" borderId="0" xfId="1" applyNumberFormat="1" applyFont="1"/>
    <xf numFmtId="164" fontId="12" fillId="4" borderId="0" xfId="1" applyNumberFormat="1" applyFont="1" applyFill="1" applyBorder="1" applyAlignment="1"/>
    <xf numFmtId="164" fontId="0" fillId="4" borderId="0" xfId="1" applyNumberFormat="1" applyFont="1" applyFill="1" applyBorder="1" applyAlignment="1"/>
    <xf numFmtId="164" fontId="12" fillId="4" borderId="0" xfId="1" applyNumberFormat="1" applyFont="1" applyFill="1" applyBorder="1"/>
    <xf numFmtId="0" fontId="0" fillId="4" borderId="0" xfId="0" applyFill="1" applyBorder="1"/>
    <xf numFmtId="0" fontId="13" fillId="4" borderId="0" xfId="0" applyFont="1" applyFill="1" applyBorder="1" applyAlignment="1">
      <alignment horizontal="center" vertical="top"/>
    </xf>
    <xf numFmtId="164" fontId="12" fillId="4" borderId="1" xfId="1" applyNumberFormat="1" applyFont="1" applyFill="1" applyBorder="1" applyAlignment="1"/>
    <xf numFmtId="0" fontId="3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 vertical="top"/>
    </xf>
    <xf numFmtId="0" fontId="17" fillId="2" borderId="1" xfId="1" applyNumberFormat="1" applyFont="1" applyFill="1" applyBorder="1" applyAlignment="1">
      <alignment horizontal="center" vertical="top"/>
    </xf>
    <xf numFmtId="165" fontId="4" fillId="3" borderId="1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165" fontId="10" fillId="2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/>
    </xf>
    <xf numFmtId="164" fontId="0" fillId="0" borderId="0" xfId="1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7" fillId="2" borderId="1" xfId="0" applyFont="1" applyFill="1" applyBorder="1" applyAlignment="1">
      <alignment horizontal="right" vertical="top"/>
    </xf>
    <xf numFmtId="0" fontId="0" fillId="0" borderId="0" xfId="0" applyFont="1" applyAlignment="1">
      <alignment horizontal="right"/>
    </xf>
    <xf numFmtId="165" fontId="4" fillId="3" borderId="1" xfId="1" applyNumberFormat="1" applyFont="1" applyFill="1" applyBorder="1" applyAlignment="1">
      <alignment horizontal="right" vertical="top"/>
    </xf>
    <xf numFmtId="165" fontId="3" fillId="2" borderId="1" xfId="1" applyNumberFormat="1" applyFont="1" applyFill="1" applyBorder="1" applyAlignment="1">
      <alignment horizontal="right" vertical="top"/>
    </xf>
    <xf numFmtId="165" fontId="3" fillId="4" borderId="1" xfId="1" applyNumberFormat="1" applyFont="1" applyFill="1" applyBorder="1" applyAlignment="1">
      <alignment horizontal="right" vertical="top"/>
    </xf>
    <xf numFmtId="165" fontId="14" fillId="3" borderId="1" xfId="1" applyNumberFormat="1" applyFont="1" applyFill="1" applyBorder="1" applyAlignment="1">
      <alignment horizontal="right" vertical="top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164" fontId="15" fillId="0" borderId="1" xfId="1" applyNumberFormat="1" applyFont="1" applyFill="1" applyBorder="1" applyAlignment="1"/>
    <xf numFmtId="164" fontId="15" fillId="4" borderId="0" xfId="1" applyNumberFormat="1" applyFont="1" applyFill="1" applyBorder="1" applyAlignment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7"/>
  <sheetViews>
    <sheetView workbookViewId="0">
      <selection sqref="A1:XFD1"/>
    </sheetView>
  </sheetViews>
  <sheetFormatPr baseColWidth="10" defaultRowHeight="15" x14ac:dyDescent="0.25"/>
  <cols>
    <col min="1" max="1" width="4.28515625" customWidth="1"/>
    <col min="2" max="2" width="35.42578125" customWidth="1"/>
    <col min="3" max="5" width="14.7109375" customWidth="1"/>
  </cols>
  <sheetData>
    <row r="2" spans="1:5" ht="29.25" x14ac:dyDescent="0.6">
      <c r="A2" s="2"/>
      <c r="B2" s="52" t="s">
        <v>31</v>
      </c>
      <c r="C2" s="52"/>
    </row>
    <row r="3" spans="1:5" x14ac:dyDescent="0.25">
      <c r="A3" s="2"/>
      <c r="B3" s="13"/>
      <c r="C3" s="13"/>
    </row>
    <row r="4" spans="1:5" x14ac:dyDescent="0.25">
      <c r="A4" s="2"/>
      <c r="B4" s="13"/>
      <c r="C4" s="13"/>
    </row>
    <row r="5" spans="1:5" ht="18" x14ac:dyDescent="0.25">
      <c r="A5" s="2"/>
      <c r="B5" s="14" t="s">
        <v>14</v>
      </c>
      <c r="C5" s="14"/>
    </row>
    <row r="6" spans="1:5" ht="20.25" x14ac:dyDescent="0.25">
      <c r="A6" s="2"/>
      <c r="B6" s="15" t="s">
        <v>15</v>
      </c>
      <c r="C6" s="15">
        <v>2016</v>
      </c>
      <c r="D6" s="16">
        <v>2015</v>
      </c>
      <c r="E6" s="16">
        <v>2014</v>
      </c>
    </row>
    <row r="7" spans="1:5" x14ac:dyDescent="0.25">
      <c r="A7" s="2"/>
      <c r="B7" s="6" t="s">
        <v>54</v>
      </c>
      <c r="C7" s="55">
        <v>-145669.26999999999</v>
      </c>
      <c r="D7" s="17">
        <v>-245731</v>
      </c>
      <c r="E7" s="17">
        <v>10470</v>
      </c>
    </row>
    <row r="8" spans="1:5" x14ac:dyDescent="0.25">
      <c r="A8" s="2"/>
      <c r="B8" s="6" t="s">
        <v>55</v>
      </c>
      <c r="C8" s="55">
        <v>151229.13</v>
      </c>
      <c r="D8" s="17">
        <v>87035</v>
      </c>
      <c r="E8" s="17"/>
    </row>
    <row r="9" spans="1:5" x14ac:dyDescent="0.25">
      <c r="A9" s="2"/>
      <c r="B9" s="6" t="s">
        <v>56</v>
      </c>
      <c r="C9" s="55">
        <v>3017557.52</v>
      </c>
      <c r="D9" s="17">
        <v>84079</v>
      </c>
      <c r="E9" s="17"/>
    </row>
    <row r="10" spans="1:5" x14ac:dyDescent="0.25">
      <c r="A10" s="2"/>
      <c r="B10" s="6" t="s">
        <v>57</v>
      </c>
      <c r="C10" s="55">
        <v>452158.64</v>
      </c>
      <c r="D10" s="17">
        <v>7348</v>
      </c>
      <c r="E10" s="17"/>
    </row>
    <row r="11" spans="1:5" x14ac:dyDescent="0.25">
      <c r="A11" s="2"/>
      <c r="B11" s="6" t="s">
        <v>58</v>
      </c>
      <c r="C11" s="55">
        <v>464933.09</v>
      </c>
      <c r="D11" s="17">
        <v>6815</v>
      </c>
      <c r="E11" s="17"/>
    </row>
    <row r="12" spans="1:5" x14ac:dyDescent="0.25">
      <c r="A12" s="2"/>
      <c r="B12" s="6" t="s">
        <v>59</v>
      </c>
      <c r="C12" s="55">
        <v>-207897.49</v>
      </c>
      <c r="D12" s="17">
        <v>4969</v>
      </c>
      <c r="E12" s="17"/>
    </row>
    <row r="13" spans="1:5" x14ac:dyDescent="0.25">
      <c r="A13" s="2"/>
      <c r="B13" s="6" t="s">
        <v>63</v>
      </c>
      <c r="C13" s="55">
        <v>300704.38</v>
      </c>
      <c r="D13" s="17"/>
      <c r="E13" s="17"/>
    </row>
    <row r="14" spans="1:5" x14ac:dyDescent="0.25">
      <c r="A14" s="2"/>
      <c r="B14" s="4" t="s">
        <v>16</v>
      </c>
      <c r="C14" s="56">
        <f>SUM(C7:C13)</f>
        <v>4033016</v>
      </c>
      <c r="D14" s="18">
        <f>SUM(D7:D12)</f>
        <v>-55485</v>
      </c>
      <c r="E14" s="18">
        <f>SUM(E7:E12)</f>
        <v>10470</v>
      </c>
    </row>
    <row r="15" spans="1:5" x14ac:dyDescent="0.25">
      <c r="A15" s="2"/>
      <c r="B15" s="9"/>
      <c r="C15" s="57"/>
      <c r="D15" s="17"/>
      <c r="E15" s="17"/>
    </row>
    <row r="16" spans="1:5" x14ac:dyDescent="0.25">
      <c r="A16" s="2"/>
      <c r="B16" s="4" t="s">
        <v>17</v>
      </c>
      <c r="C16" s="56"/>
      <c r="D16" s="19"/>
      <c r="E16" s="19"/>
    </row>
    <row r="17" spans="1:5" x14ac:dyDescent="0.25">
      <c r="A17" s="2"/>
      <c r="B17" s="6" t="s">
        <v>18</v>
      </c>
      <c r="C17" s="55">
        <v>137084.20000000001</v>
      </c>
      <c r="D17" s="17">
        <v>82145</v>
      </c>
      <c r="E17" s="17">
        <v>105100</v>
      </c>
    </row>
    <row r="18" spans="1:5" x14ac:dyDescent="0.25">
      <c r="A18" s="2"/>
      <c r="B18" s="6" t="s">
        <v>19</v>
      </c>
      <c r="C18" s="55"/>
      <c r="D18" s="17">
        <f>66206+3040</f>
        <v>69246</v>
      </c>
      <c r="E18" s="17"/>
    </row>
    <row r="19" spans="1:5" x14ac:dyDescent="0.25">
      <c r="A19" s="2"/>
      <c r="B19" s="6"/>
      <c r="C19" s="55"/>
      <c r="D19" s="17"/>
      <c r="E19" s="17"/>
    </row>
    <row r="20" spans="1:5" x14ac:dyDescent="0.25">
      <c r="A20" s="2"/>
      <c r="B20" s="4"/>
      <c r="C20" s="56">
        <f>SUM(C17:C19)</f>
        <v>137084.20000000001</v>
      </c>
      <c r="D20" s="18">
        <f>SUM(D15:D19)</f>
        <v>151391</v>
      </c>
      <c r="E20" s="18">
        <f>SUM(E15:E19)</f>
        <v>105100</v>
      </c>
    </row>
    <row r="21" spans="1:5" x14ac:dyDescent="0.25">
      <c r="A21" s="2"/>
      <c r="B21" s="6"/>
      <c r="C21" s="55"/>
      <c r="D21" s="17"/>
      <c r="E21" s="17"/>
    </row>
    <row r="22" spans="1:5" x14ac:dyDescent="0.25">
      <c r="A22" s="2"/>
      <c r="B22" s="4" t="s">
        <v>20</v>
      </c>
      <c r="C22" s="56"/>
      <c r="D22" s="18"/>
      <c r="E22" s="18"/>
    </row>
    <row r="23" spans="1:5" x14ac:dyDescent="0.25">
      <c r="A23" s="2"/>
      <c r="B23" s="6"/>
      <c r="C23" s="55"/>
      <c r="D23" s="17"/>
      <c r="E23" s="17"/>
    </row>
    <row r="24" spans="1:5" x14ac:dyDescent="0.25">
      <c r="A24" s="2"/>
      <c r="B24" s="6"/>
      <c r="C24" s="55"/>
      <c r="D24" s="35"/>
      <c r="E24" s="35"/>
    </row>
    <row r="25" spans="1:5" x14ac:dyDescent="0.25">
      <c r="A25" s="2"/>
      <c r="B25" s="6" t="s">
        <v>21</v>
      </c>
      <c r="C25" s="55">
        <f>370172.83+70</f>
        <v>370242.83</v>
      </c>
      <c r="D25" s="38">
        <v>584008</v>
      </c>
      <c r="E25" s="38">
        <v>558978.71</v>
      </c>
    </row>
    <row r="26" spans="1:5" x14ac:dyDescent="0.25">
      <c r="A26" s="2"/>
      <c r="B26" s="6" t="s">
        <v>60</v>
      </c>
      <c r="C26" s="55">
        <v>743429.3</v>
      </c>
      <c r="D26" s="17">
        <v>1738183</v>
      </c>
      <c r="E26" s="17">
        <v>1216237.3</v>
      </c>
    </row>
    <row r="27" spans="1:5" x14ac:dyDescent="0.25">
      <c r="A27" s="2"/>
      <c r="B27" s="6" t="s">
        <v>22</v>
      </c>
      <c r="C27" s="55">
        <v>3934.5</v>
      </c>
      <c r="D27" s="17">
        <v>4960.5</v>
      </c>
      <c r="E27" s="17">
        <v>6361</v>
      </c>
    </row>
    <row r="28" spans="1:5" x14ac:dyDescent="0.25">
      <c r="A28" s="2"/>
      <c r="B28" s="6"/>
      <c r="C28" s="55"/>
      <c r="D28" s="17"/>
      <c r="E28" s="17"/>
    </row>
    <row r="29" spans="1:5" x14ac:dyDescent="0.25">
      <c r="A29" s="2"/>
      <c r="B29" s="4" t="s">
        <v>23</v>
      </c>
      <c r="C29" s="56">
        <f>SUM(C25:C28)</f>
        <v>1117606.6300000001</v>
      </c>
      <c r="D29" s="18">
        <f>SUM(D24:D28)</f>
        <v>2327151.5</v>
      </c>
      <c r="E29" s="18">
        <f>SUM(E24:E28)</f>
        <v>1781577.01</v>
      </c>
    </row>
    <row r="30" spans="1:5" x14ac:dyDescent="0.25">
      <c r="A30" s="2"/>
      <c r="B30" s="6"/>
      <c r="C30" s="55"/>
      <c r="D30" s="17"/>
      <c r="E30" s="17"/>
    </row>
    <row r="31" spans="1:5" x14ac:dyDescent="0.25">
      <c r="A31" s="2"/>
      <c r="B31" s="4" t="s">
        <v>16</v>
      </c>
      <c r="C31" s="56">
        <f>C29+C20+C14</f>
        <v>5287706.83</v>
      </c>
      <c r="D31" s="18">
        <f>D14+D20+D29</f>
        <v>2423057.5</v>
      </c>
      <c r="E31" s="18">
        <f>E14+E20+E29</f>
        <v>1897147.01</v>
      </c>
    </row>
    <row r="32" spans="1:5" x14ac:dyDescent="0.25">
      <c r="A32" s="2"/>
      <c r="B32" s="6"/>
      <c r="C32" s="55"/>
      <c r="D32" s="17"/>
      <c r="E32" s="17"/>
    </row>
    <row r="33" spans="1:6" x14ac:dyDescent="0.25">
      <c r="A33" s="2"/>
      <c r="B33" s="6"/>
      <c r="C33" s="55"/>
      <c r="D33" s="17"/>
      <c r="E33" s="17"/>
      <c r="F33" s="20"/>
    </row>
    <row r="34" spans="1:6" ht="18" x14ac:dyDescent="0.25">
      <c r="A34" s="2"/>
      <c r="B34" s="21" t="s">
        <v>24</v>
      </c>
      <c r="C34" s="58"/>
      <c r="D34" s="22"/>
      <c r="E34" s="22"/>
    </row>
    <row r="35" spans="1:6" x14ac:dyDescent="0.25">
      <c r="A35" s="2"/>
      <c r="B35" s="6"/>
      <c r="C35" s="55"/>
      <c r="D35" s="17"/>
      <c r="E35" s="17"/>
    </row>
    <row r="36" spans="1:6" x14ac:dyDescent="0.25">
      <c r="A36" s="2"/>
      <c r="B36" s="6" t="s">
        <v>25</v>
      </c>
      <c r="C36" s="55">
        <f>D36+Resultat!C48</f>
        <v>1801215.34</v>
      </c>
      <c r="D36" s="17">
        <f>1119878+Resultat!D48</f>
        <v>1497144</v>
      </c>
      <c r="E36" s="17">
        <v>1119877.95</v>
      </c>
      <c r="F36" s="20"/>
    </row>
    <row r="37" spans="1:6" x14ac:dyDescent="0.25">
      <c r="A37" s="2"/>
      <c r="B37" s="6"/>
      <c r="C37" s="55"/>
      <c r="D37" s="17"/>
      <c r="E37" s="17"/>
      <c r="F37" s="20"/>
    </row>
    <row r="38" spans="1:6" x14ac:dyDescent="0.25">
      <c r="A38" s="2"/>
      <c r="B38" s="60" t="s">
        <v>64</v>
      </c>
      <c r="C38" s="59">
        <v>2400000</v>
      </c>
      <c r="D38" s="17"/>
      <c r="E38" s="17"/>
      <c r="F38" s="20"/>
    </row>
    <row r="39" spans="1:6" x14ac:dyDescent="0.25">
      <c r="A39" s="2"/>
      <c r="B39" s="6"/>
      <c r="C39" s="55"/>
      <c r="D39" s="35"/>
      <c r="E39" s="35"/>
    </row>
    <row r="40" spans="1:6" x14ac:dyDescent="0.25">
      <c r="A40" s="2"/>
      <c r="B40" s="6" t="s">
        <v>26</v>
      </c>
      <c r="C40" s="55">
        <v>330439.92</v>
      </c>
      <c r="D40" s="17">
        <v>154903</v>
      </c>
      <c r="E40" s="17">
        <v>7391.35</v>
      </c>
    </row>
    <row r="41" spans="1:6" x14ac:dyDescent="0.25">
      <c r="A41" s="2"/>
      <c r="B41" s="6" t="s">
        <v>27</v>
      </c>
      <c r="C41" s="55">
        <v>2931</v>
      </c>
      <c r="D41" s="17">
        <v>4959</v>
      </c>
      <c r="E41" s="17">
        <f>8408+4600.33</f>
        <v>13008.33</v>
      </c>
    </row>
    <row r="42" spans="1:6" x14ac:dyDescent="0.25">
      <c r="A42" s="2"/>
      <c r="B42" s="6" t="s">
        <v>61</v>
      </c>
      <c r="C42" s="55">
        <v>750000</v>
      </c>
      <c r="D42" s="17">
        <v>750000</v>
      </c>
      <c r="E42" s="17">
        <v>750000</v>
      </c>
      <c r="F42" s="20"/>
    </row>
    <row r="43" spans="1:6" x14ac:dyDescent="0.25">
      <c r="A43" s="2"/>
      <c r="B43" s="6" t="s">
        <v>30</v>
      </c>
      <c r="C43" s="55">
        <v>3120.41</v>
      </c>
      <c r="D43" s="17">
        <v>16052</v>
      </c>
      <c r="E43" s="17">
        <f>11100-4230.62</f>
        <v>6869.38</v>
      </c>
    </row>
    <row r="44" spans="1:6" x14ac:dyDescent="0.25">
      <c r="A44" s="2"/>
      <c r="B44" s="4" t="s">
        <v>28</v>
      </c>
      <c r="C44" s="56">
        <f>SUM(C40:C43)</f>
        <v>1086491.3299999998</v>
      </c>
      <c r="D44" s="18">
        <f>SUM(D39:D43)</f>
        <v>925914</v>
      </c>
      <c r="E44" s="18">
        <f>SUM(E39:E43)</f>
        <v>777269.06</v>
      </c>
    </row>
    <row r="45" spans="1:6" x14ac:dyDescent="0.25">
      <c r="A45" s="2"/>
      <c r="B45" s="9"/>
      <c r="C45" s="57"/>
      <c r="D45" s="17"/>
      <c r="E45" s="17"/>
    </row>
    <row r="46" spans="1:6" x14ac:dyDescent="0.25">
      <c r="A46" s="2"/>
      <c r="B46" s="4" t="s">
        <v>29</v>
      </c>
      <c r="C46" s="56">
        <f>C36+C38+C44</f>
        <v>5287706.67</v>
      </c>
      <c r="D46" s="18">
        <f>D44+D38+D36</f>
        <v>2423058</v>
      </c>
      <c r="E46" s="18">
        <f>E44+E38+E36</f>
        <v>1897147.01</v>
      </c>
    </row>
    <row r="47" spans="1:6" x14ac:dyDescent="0.25">
      <c r="A47" s="2"/>
      <c r="B47" s="13"/>
      <c r="C47" s="1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3"/>
  <sheetViews>
    <sheetView workbookViewId="0">
      <selection sqref="A1:XFD1"/>
    </sheetView>
  </sheetViews>
  <sheetFormatPr baseColWidth="10" defaultRowHeight="15" x14ac:dyDescent="0.25"/>
  <cols>
    <col min="1" max="1" width="4.140625" style="26" customWidth="1"/>
    <col min="2" max="2" width="34.5703125" style="26" customWidth="1"/>
    <col min="3" max="3" width="14.85546875" style="65" customWidth="1"/>
    <col min="4" max="5" width="14.85546875" style="26" customWidth="1"/>
    <col min="6" max="16384" width="11.42578125" style="26"/>
  </cols>
  <sheetData>
    <row r="2" spans="1:5" ht="22.5" x14ac:dyDescent="0.45">
      <c r="A2" s="25"/>
      <c r="B2" s="12" t="s">
        <v>31</v>
      </c>
      <c r="C2" s="61"/>
      <c r="E2" s="24"/>
    </row>
    <row r="3" spans="1:5" x14ac:dyDescent="0.25">
      <c r="A3" s="28"/>
      <c r="B3" s="28"/>
      <c r="C3" s="28"/>
      <c r="E3" s="24"/>
    </row>
    <row r="4" spans="1:5" x14ac:dyDescent="0.25">
      <c r="A4" s="25"/>
      <c r="B4" s="13"/>
      <c r="C4" s="62"/>
      <c r="E4" s="24"/>
    </row>
    <row r="5" spans="1:5" x14ac:dyDescent="0.25">
      <c r="A5" s="25"/>
      <c r="B5" s="29" t="s">
        <v>62</v>
      </c>
      <c r="C5" s="63"/>
    </row>
    <row r="6" spans="1:5" ht="15.75" x14ac:dyDescent="0.25">
      <c r="A6" s="25"/>
      <c r="B6" s="53" t="s">
        <v>0</v>
      </c>
      <c r="C6" s="64">
        <v>2016</v>
      </c>
      <c r="D6" s="54">
        <v>2015</v>
      </c>
      <c r="E6" s="54">
        <v>2014</v>
      </c>
    </row>
    <row r="7" spans="1:5" x14ac:dyDescent="0.25">
      <c r="A7" s="25"/>
      <c r="B7" s="6" t="s">
        <v>32</v>
      </c>
      <c r="C7" s="66">
        <v>94071.73</v>
      </c>
      <c r="D7" s="17">
        <v>79521</v>
      </c>
      <c r="E7" s="17">
        <f>112328.5+5000</f>
        <v>117328.5</v>
      </c>
    </row>
    <row r="8" spans="1:5" x14ac:dyDescent="0.25">
      <c r="A8" s="25"/>
      <c r="B8" s="6" t="s">
        <v>65</v>
      </c>
      <c r="C8" s="66">
        <v>21725</v>
      </c>
      <c r="D8" s="17"/>
      <c r="E8" s="17"/>
    </row>
    <row r="9" spans="1:5" x14ac:dyDescent="0.25">
      <c r="A9" s="25"/>
      <c r="B9" s="6" t="s">
        <v>66</v>
      </c>
      <c r="C9" s="66">
        <v>60</v>
      </c>
      <c r="D9" s="17"/>
      <c r="E9" s="17"/>
    </row>
    <row r="10" spans="1:5" x14ac:dyDescent="0.25">
      <c r="A10" s="25"/>
      <c r="B10" s="6" t="s">
        <v>33</v>
      </c>
      <c r="C10" s="66">
        <v>108077.17</v>
      </c>
      <c r="D10" s="17">
        <v>119172</v>
      </c>
      <c r="E10" s="17">
        <v>108781.38</v>
      </c>
    </row>
    <row r="11" spans="1:5" x14ac:dyDescent="0.25">
      <c r="A11" s="25"/>
      <c r="B11" s="6" t="s">
        <v>34</v>
      </c>
      <c r="C11" s="66">
        <v>92500</v>
      </c>
      <c r="D11" s="17">
        <v>116000</v>
      </c>
      <c r="E11" s="17">
        <v>104000</v>
      </c>
    </row>
    <row r="12" spans="1:5" x14ac:dyDescent="0.25">
      <c r="A12" s="25"/>
      <c r="B12" s="6" t="s">
        <v>35</v>
      </c>
      <c r="C12" s="66">
        <v>30305.01</v>
      </c>
      <c r="D12" s="17">
        <v>24084</v>
      </c>
      <c r="E12" s="17">
        <v>29123</v>
      </c>
    </row>
    <row r="13" spans="1:5" x14ac:dyDescent="0.25">
      <c r="A13" s="25"/>
      <c r="B13" s="6" t="s">
        <v>36</v>
      </c>
      <c r="C13" s="66">
        <v>170646.82</v>
      </c>
      <c r="D13" s="17">
        <v>136497</v>
      </c>
      <c r="E13" s="17">
        <v>134556</v>
      </c>
    </row>
    <row r="14" spans="1:5" x14ac:dyDescent="0.25">
      <c r="A14" s="25"/>
      <c r="B14" s="6" t="s">
        <v>37</v>
      </c>
      <c r="C14" s="66">
        <v>350902.09</v>
      </c>
      <c r="D14" s="17">
        <v>301822</v>
      </c>
      <c r="E14" s="17">
        <v>155566</v>
      </c>
    </row>
    <row r="15" spans="1:5" x14ac:dyDescent="0.25">
      <c r="A15" s="25"/>
      <c r="B15" s="6" t="s">
        <v>38</v>
      </c>
      <c r="C15" s="66">
        <v>35100</v>
      </c>
      <c r="D15" s="17">
        <v>94717</v>
      </c>
      <c r="E15" s="17">
        <v>56867</v>
      </c>
    </row>
    <row r="16" spans="1:5" x14ac:dyDescent="0.25">
      <c r="A16" s="25"/>
      <c r="B16" s="6" t="s">
        <v>39</v>
      </c>
      <c r="C16" s="66">
        <f>169192.06+4200</f>
        <v>173392.06</v>
      </c>
      <c r="D16" s="17">
        <f>211268+80089.5</f>
        <v>291357.5</v>
      </c>
      <c r="E16" s="17">
        <v>204929</v>
      </c>
    </row>
    <row r="17" spans="1:5" x14ac:dyDescent="0.25">
      <c r="A17" s="25"/>
      <c r="B17" s="4" t="s">
        <v>2</v>
      </c>
      <c r="C17" s="67">
        <f>SUM(C7:C16)</f>
        <v>1076779.8800000001</v>
      </c>
      <c r="D17" s="32">
        <f>SUM(D7:D16)</f>
        <v>1163170.5</v>
      </c>
      <c r="E17" s="32">
        <f>SUM(E7:E16)</f>
        <v>911150.88</v>
      </c>
    </row>
    <row r="18" spans="1:5" x14ac:dyDescent="0.25">
      <c r="A18" s="25"/>
      <c r="B18" s="9"/>
      <c r="C18" s="57"/>
      <c r="D18" s="17"/>
      <c r="E18" s="17"/>
    </row>
    <row r="19" spans="1:5" x14ac:dyDescent="0.25">
      <c r="A19" s="25"/>
      <c r="B19" s="4" t="s">
        <v>3</v>
      </c>
      <c r="C19" s="67"/>
      <c r="D19" s="30"/>
      <c r="E19" s="30"/>
    </row>
    <row r="20" spans="1:5" x14ac:dyDescent="0.25">
      <c r="A20" s="25"/>
      <c r="B20" s="50"/>
      <c r="C20" s="68"/>
      <c r="D20" s="51"/>
      <c r="E20" s="51"/>
    </row>
    <row r="21" spans="1:5" x14ac:dyDescent="0.25">
      <c r="A21" s="25"/>
      <c r="B21" s="31" t="s">
        <v>40</v>
      </c>
      <c r="C21" s="69">
        <f>66550.99+125872.49</f>
        <v>192423.48</v>
      </c>
      <c r="D21" s="17">
        <v>146487</v>
      </c>
      <c r="E21" s="17">
        <f>93634.06+77507.14</f>
        <v>171141.2</v>
      </c>
    </row>
    <row r="22" spans="1:5" x14ac:dyDescent="0.25">
      <c r="A22" s="25"/>
      <c r="B22" s="31" t="s">
        <v>67</v>
      </c>
      <c r="C22" s="69">
        <v>17160</v>
      </c>
      <c r="D22" s="17"/>
      <c r="E22" s="17"/>
    </row>
    <row r="23" spans="1:5" x14ac:dyDescent="0.25">
      <c r="A23" s="25"/>
      <c r="B23" s="31" t="s">
        <v>41</v>
      </c>
      <c r="C23" s="69">
        <f>9611.25+2845</f>
        <v>12456.25</v>
      </c>
      <c r="D23" s="17">
        <v>24817</v>
      </c>
      <c r="E23" s="17">
        <f>32420.16+2485</f>
        <v>34905.160000000003</v>
      </c>
    </row>
    <row r="24" spans="1:5" x14ac:dyDescent="0.25">
      <c r="A24" s="25"/>
      <c r="B24" s="31" t="s">
        <v>42</v>
      </c>
      <c r="C24" s="69">
        <v>80377.88</v>
      </c>
      <c r="D24" s="17">
        <v>41495</v>
      </c>
      <c r="E24" s="17">
        <v>43809.95</v>
      </c>
    </row>
    <row r="25" spans="1:5" x14ac:dyDescent="0.25">
      <c r="A25" s="25"/>
      <c r="B25" s="4" t="s">
        <v>4</v>
      </c>
      <c r="C25" s="67">
        <f>SUM(C21:C24)</f>
        <v>302417.61</v>
      </c>
      <c r="D25" s="32">
        <f>SUM(D18:D24)</f>
        <v>212799</v>
      </c>
      <c r="E25" s="32">
        <f>SUM(E18:E24)</f>
        <v>249856.31</v>
      </c>
    </row>
    <row r="26" spans="1:5" x14ac:dyDescent="0.25">
      <c r="A26" s="25"/>
      <c r="B26" s="50"/>
      <c r="C26" s="68"/>
      <c r="D26" s="49"/>
      <c r="E26" s="49"/>
    </row>
    <row r="27" spans="1:5" x14ac:dyDescent="0.25">
      <c r="A27" s="25"/>
      <c r="B27" s="6" t="s">
        <v>43</v>
      </c>
      <c r="C27" s="66">
        <v>73150</v>
      </c>
      <c r="D27" s="17">
        <v>114000</v>
      </c>
      <c r="E27" s="17">
        <v>101610.9</v>
      </c>
    </row>
    <row r="28" spans="1:5" x14ac:dyDescent="0.25">
      <c r="A28" s="25"/>
      <c r="B28" s="4" t="s">
        <v>5</v>
      </c>
      <c r="C28" s="67">
        <f>SUM(C27)</f>
        <v>73150</v>
      </c>
      <c r="D28" s="32">
        <f>SUM(D27)</f>
        <v>114000</v>
      </c>
      <c r="E28" s="32">
        <f>SUM(E27)</f>
        <v>101610.9</v>
      </c>
    </row>
    <row r="29" spans="1:5" x14ac:dyDescent="0.25">
      <c r="A29" s="25"/>
      <c r="B29" s="50"/>
      <c r="C29" s="68"/>
      <c r="D29" s="49"/>
      <c r="E29" s="49"/>
    </row>
    <row r="30" spans="1:5" x14ac:dyDescent="0.25">
      <c r="A30" s="25"/>
      <c r="B30" s="6" t="s">
        <v>44</v>
      </c>
      <c r="C30" s="66">
        <v>2093.13</v>
      </c>
      <c r="D30" s="17">
        <v>428</v>
      </c>
      <c r="E30" s="17">
        <v>2521.8000000000002</v>
      </c>
    </row>
    <row r="31" spans="1:5" x14ac:dyDescent="0.25">
      <c r="A31" s="25"/>
      <c r="B31" s="6" t="s">
        <v>6</v>
      </c>
      <c r="C31" s="66">
        <v>7811.81</v>
      </c>
      <c r="D31" s="17">
        <v>8152</v>
      </c>
      <c r="E31" s="17">
        <v>6521.53</v>
      </c>
    </row>
    <row r="32" spans="1:5" x14ac:dyDescent="0.25">
      <c r="A32" s="25"/>
      <c r="B32" s="6" t="s">
        <v>7</v>
      </c>
      <c r="C32" s="66">
        <v>74718.62</v>
      </c>
      <c r="D32" s="17">
        <v>78200</v>
      </c>
      <c r="E32" s="17">
        <v>102918.72</v>
      </c>
    </row>
    <row r="33" spans="1:5" x14ac:dyDescent="0.25">
      <c r="A33" s="25"/>
      <c r="B33" s="6" t="s">
        <v>45</v>
      </c>
      <c r="C33" s="66">
        <f>2213+12430</f>
        <v>14643</v>
      </c>
      <c r="D33" s="17">
        <v>6144</v>
      </c>
      <c r="E33" s="17">
        <v>500</v>
      </c>
    </row>
    <row r="34" spans="1:5" x14ac:dyDescent="0.25">
      <c r="A34" s="25"/>
      <c r="B34" s="6" t="s">
        <v>46</v>
      </c>
      <c r="C34" s="66">
        <f>14055.33+44209</f>
        <v>58264.33</v>
      </c>
      <c r="D34" s="17">
        <v>10824</v>
      </c>
      <c r="E34" s="17">
        <f>4910+20288</f>
        <v>25198</v>
      </c>
    </row>
    <row r="35" spans="1:5" x14ac:dyDescent="0.25">
      <c r="A35" s="25"/>
      <c r="B35" s="6" t="s">
        <v>8</v>
      </c>
      <c r="C35" s="66">
        <v>32136</v>
      </c>
      <c r="D35" s="33">
        <v>165029</v>
      </c>
      <c r="E35" s="33">
        <f>522285.88+13109</f>
        <v>535394.88</v>
      </c>
    </row>
    <row r="36" spans="1:5" x14ac:dyDescent="0.25">
      <c r="A36" s="25"/>
      <c r="B36" s="6" t="s">
        <v>9</v>
      </c>
      <c r="C36" s="66">
        <v>26943</v>
      </c>
      <c r="D36" s="17">
        <v>9398</v>
      </c>
      <c r="E36" s="17">
        <v>12161</v>
      </c>
    </row>
    <row r="37" spans="1:5" x14ac:dyDescent="0.25">
      <c r="A37" s="25"/>
      <c r="B37" s="6" t="s">
        <v>47</v>
      </c>
      <c r="C37" s="66">
        <v>53619</v>
      </c>
      <c r="D37" s="17">
        <v>55668</v>
      </c>
      <c r="E37" s="17">
        <v>7948</v>
      </c>
    </row>
    <row r="38" spans="1:5" x14ac:dyDescent="0.25">
      <c r="A38" s="25"/>
      <c r="B38" s="6" t="s">
        <v>10</v>
      </c>
      <c r="C38" s="66">
        <f>14390+8843.42+220</f>
        <v>23453.42</v>
      </c>
      <c r="D38" s="17">
        <f>6587+156.5</f>
        <v>6743.5</v>
      </c>
      <c r="E38" s="17">
        <f>18005+14424.25+483.3+100</f>
        <v>33012.550000000003</v>
      </c>
    </row>
    <row r="39" spans="1:5" x14ac:dyDescent="0.25">
      <c r="A39" s="25"/>
      <c r="B39" s="6" t="s">
        <v>48</v>
      </c>
      <c r="C39" s="66">
        <f>3647.45+59499.35</f>
        <v>63146.799999999996</v>
      </c>
      <c r="D39" s="17">
        <f>180+61246</f>
        <v>61426</v>
      </c>
      <c r="E39" s="17">
        <f>646.4+67452.63</f>
        <v>68099.03</v>
      </c>
    </row>
    <row r="40" spans="1:5" x14ac:dyDescent="0.25">
      <c r="A40" s="25"/>
      <c r="B40" s="6" t="s">
        <v>49</v>
      </c>
      <c r="C40" s="66">
        <v>7205.4</v>
      </c>
      <c r="D40" s="17">
        <v>19970</v>
      </c>
      <c r="E40" s="17">
        <v>17913.75</v>
      </c>
    </row>
    <row r="41" spans="1:5" x14ac:dyDescent="0.25">
      <c r="A41" s="25"/>
      <c r="B41" s="6" t="s">
        <v>50</v>
      </c>
      <c r="C41" s="66">
        <f>17500+600</f>
        <v>18100</v>
      </c>
      <c r="D41" s="17">
        <v>46132</v>
      </c>
      <c r="E41" s="17">
        <f>11000+31000</f>
        <v>42000</v>
      </c>
    </row>
    <row r="42" spans="1:5" x14ac:dyDescent="0.25">
      <c r="A42" s="25"/>
      <c r="B42" s="6" t="s">
        <v>11</v>
      </c>
      <c r="C42" s="66">
        <v>19121</v>
      </c>
      <c r="D42" s="17">
        <v>11758</v>
      </c>
      <c r="E42" s="17">
        <v>17286</v>
      </c>
    </row>
    <row r="43" spans="1:5" x14ac:dyDescent="0.25">
      <c r="A43" s="25"/>
      <c r="B43" s="6" t="s">
        <v>51</v>
      </c>
      <c r="C43" s="66">
        <v>1558.52</v>
      </c>
      <c r="D43" s="17">
        <v>1019</v>
      </c>
      <c r="E43" s="17">
        <f>443.18+1620-1530</f>
        <v>533.17999999999984</v>
      </c>
    </row>
    <row r="44" spans="1:5" x14ac:dyDescent="0.25">
      <c r="A44" s="25"/>
      <c r="B44" s="6" t="s">
        <v>53</v>
      </c>
      <c r="C44" s="66">
        <v>-5879</v>
      </c>
      <c r="D44" s="17">
        <v>-22280</v>
      </c>
      <c r="E44" s="17">
        <v>-18685</v>
      </c>
    </row>
    <row r="45" spans="1:5" x14ac:dyDescent="0.25">
      <c r="A45" s="25"/>
      <c r="B45" s="6" t="s">
        <v>52</v>
      </c>
      <c r="C45" s="66">
        <f>205.9</f>
        <v>205.9</v>
      </c>
      <c r="D45" s="17">
        <v>494</v>
      </c>
      <c r="E45" s="17">
        <v>73</v>
      </c>
    </row>
    <row r="46" spans="1:5" x14ac:dyDescent="0.25">
      <c r="A46" s="25"/>
      <c r="B46" s="4" t="s">
        <v>12</v>
      </c>
      <c r="C46" s="67">
        <f>SUM(C30:C45)</f>
        <v>397140.93000000005</v>
      </c>
      <c r="D46" s="32">
        <f>SUM(D30:D45)</f>
        <v>459105.5</v>
      </c>
      <c r="E46" s="32">
        <f>SUM(E30:E45)</f>
        <v>853396.44000000006</v>
      </c>
    </row>
    <row r="47" spans="1:5" x14ac:dyDescent="0.25">
      <c r="A47" s="25"/>
      <c r="B47" s="9"/>
      <c r="C47" s="57"/>
      <c r="D47" s="17"/>
      <c r="E47" s="17"/>
    </row>
    <row r="48" spans="1:5" x14ac:dyDescent="0.25">
      <c r="A48" s="25"/>
      <c r="B48" s="4" t="s">
        <v>13</v>
      </c>
      <c r="C48" s="67">
        <f>C17-C25-C28-C46</f>
        <v>304071.34000000008</v>
      </c>
      <c r="D48" s="34">
        <f>D17-D25-D28-D46</f>
        <v>377266</v>
      </c>
      <c r="E48" s="34">
        <f>E17-E25-E28-E46</f>
        <v>-293712.77</v>
      </c>
    </row>
    <row r="49" spans="1:5" x14ac:dyDescent="0.25">
      <c r="A49" s="25"/>
      <c r="C49" s="70"/>
      <c r="D49" s="23"/>
      <c r="E49" s="24"/>
    </row>
    <row r="50" spans="1:5" x14ac:dyDescent="0.25">
      <c r="C50" s="70"/>
      <c r="D50" s="27"/>
    </row>
    <row r="51" spans="1:5" x14ac:dyDescent="0.25">
      <c r="B51" s="42"/>
      <c r="C51" s="71"/>
    </row>
    <row r="52" spans="1:5" x14ac:dyDescent="0.25">
      <c r="B52" s="42"/>
      <c r="C52" s="71"/>
    </row>
    <row r="53" spans="1:5" x14ac:dyDescent="0.25">
      <c r="C53" s="70"/>
    </row>
  </sheetData>
  <pageMargins left="0.7" right="0.7" top="0.24" bottom="0.18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tabSelected="1" workbookViewId="0">
      <selection sqref="A1:XFD1"/>
    </sheetView>
  </sheetViews>
  <sheetFormatPr baseColWidth="10" defaultRowHeight="15" x14ac:dyDescent="0.25"/>
  <cols>
    <col min="1" max="1" width="10.140625" customWidth="1"/>
    <col min="2" max="2" width="35.28515625" customWidth="1"/>
    <col min="3" max="3" width="14.5703125" customWidth="1"/>
    <col min="4" max="4" width="11.42578125" style="41"/>
  </cols>
  <sheetData>
    <row r="2" spans="1:5" ht="21" x14ac:dyDescent="0.45">
      <c r="B2" s="1" t="s">
        <v>31</v>
      </c>
    </row>
    <row r="3" spans="1:5" x14ac:dyDescent="0.25">
      <c r="B3" s="2"/>
    </row>
    <row r="4" spans="1:5" ht="21" x14ac:dyDescent="0.45">
      <c r="A4" s="2"/>
      <c r="B4" s="3" t="s">
        <v>68</v>
      </c>
    </row>
    <row r="5" spans="1:5" ht="8.25" customHeight="1" x14ac:dyDescent="0.25">
      <c r="A5" s="2"/>
      <c r="B5" s="2"/>
    </row>
    <row r="6" spans="1:5" x14ac:dyDescent="0.25">
      <c r="A6" s="2"/>
      <c r="B6" s="4" t="s">
        <v>0</v>
      </c>
      <c r="C6" s="5" t="s">
        <v>1</v>
      </c>
    </row>
    <row r="7" spans="1:5" x14ac:dyDescent="0.25">
      <c r="A7" s="2"/>
      <c r="B7" s="6" t="s">
        <v>32</v>
      </c>
      <c r="C7" s="17">
        <v>235000</v>
      </c>
      <c r="D7" s="39"/>
    </row>
    <row r="8" spans="1:5" x14ac:dyDescent="0.25">
      <c r="A8" s="7"/>
      <c r="B8" s="6" t="s">
        <v>33</v>
      </c>
      <c r="C8" s="17">
        <v>125000</v>
      </c>
      <c r="D8" s="39"/>
    </row>
    <row r="9" spans="1:5" x14ac:dyDescent="0.25">
      <c r="A9" s="7"/>
      <c r="B9" s="6" t="s">
        <v>34</v>
      </c>
      <c r="C9" s="17">
        <v>30000</v>
      </c>
      <c r="D9" s="39"/>
      <c r="E9" s="20"/>
    </row>
    <row r="10" spans="1:5" x14ac:dyDescent="0.25">
      <c r="A10" s="7"/>
      <c r="B10" s="6" t="s">
        <v>35</v>
      </c>
      <c r="C10" s="17">
        <v>125000</v>
      </c>
      <c r="D10" s="39"/>
    </row>
    <row r="11" spans="1:5" x14ac:dyDescent="0.25">
      <c r="A11" s="7"/>
      <c r="B11" s="6" t="s">
        <v>36</v>
      </c>
      <c r="C11" s="17">
        <v>160000</v>
      </c>
      <c r="D11" s="39"/>
    </row>
    <row r="12" spans="1:5" x14ac:dyDescent="0.25">
      <c r="A12" s="7"/>
      <c r="B12" s="6" t="s">
        <v>37</v>
      </c>
      <c r="C12" s="17">
        <v>343623</v>
      </c>
      <c r="D12" s="39"/>
    </row>
    <row r="13" spans="1:5" x14ac:dyDescent="0.25">
      <c r="A13" s="7"/>
      <c r="B13" s="6" t="s">
        <v>38</v>
      </c>
      <c r="C13" s="17">
        <v>98900</v>
      </c>
      <c r="D13" s="39"/>
    </row>
    <row r="14" spans="1:5" x14ac:dyDescent="0.25">
      <c r="A14" s="7"/>
      <c r="B14" s="6" t="s">
        <v>39</v>
      </c>
      <c r="C14" s="17">
        <v>165000</v>
      </c>
      <c r="D14" s="39"/>
    </row>
    <row r="15" spans="1:5" x14ac:dyDescent="0.25">
      <c r="A15" s="7"/>
      <c r="B15" s="4" t="s">
        <v>2</v>
      </c>
      <c r="C15" s="32">
        <f>SUM(C7:C14)</f>
        <v>1282523</v>
      </c>
      <c r="D15" s="44"/>
    </row>
    <row r="16" spans="1:5" x14ac:dyDescent="0.25">
      <c r="A16" s="8"/>
      <c r="B16" s="9"/>
      <c r="C16" s="17"/>
      <c r="D16" s="45"/>
    </row>
    <row r="17" spans="1:7" x14ac:dyDescent="0.25">
      <c r="A17" s="10"/>
      <c r="B17" s="4" t="s">
        <v>3</v>
      </c>
      <c r="C17" s="30"/>
      <c r="D17" s="48"/>
    </row>
    <row r="18" spans="1:7" x14ac:dyDescent="0.25">
      <c r="A18" s="10"/>
      <c r="B18" s="31" t="s">
        <v>40</v>
      </c>
      <c r="C18" s="17">
        <v>51000</v>
      </c>
      <c r="D18" s="39"/>
    </row>
    <row r="19" spans="1:7" x14ac:dyDescent="0.25">
      <c r="A19" s="10"/>
      <c r="B19" s="31" t="s">
        <v>69</v>
      </c>
      <c r="C19" s="17">
        <v>130000</v>
      </c>
      <c r="D19" s="39"/>
    </row>
    <row r="20" spans="1:7" x14ac:dyDescent="0.25">
      <c r="A20" s="10"/>
      <c r="B20" s="31" t="s">
        <v>41</v>
      </c>
      <c r="C20" s="17">
        <v>47000</v>
      </c>
      <c r="D20" s="39"/>
    </row>
    <row r="21" spans="1:7" x14ac:dyDescent="0.25">
      <c r="A21" s="10"/>
      <c r="B21" s="31" t="s">
        <v>70</v>
      </c>
      <c r="C21" s="17">
        <v>13300</v>
      </c>
      <c r="D21" s="39"/>
    </row>
    <row r="22" spans="1:7" x14ac:dyDescent="0.25">
      <c r="A22" s="10"/>
      <c r="B22" s="31" t="s">
        <v>71</v>
      </c>
      <c r="C22" s="17">
        <v>67000</v>
      </c>
      <c r="D22" s="39"/>
    </row>
    <row r="23" spans="1:7" x14ac:dyDescent="0.25">
      <c r="A23" s="11"/>
      <c r="B23" s="4" t="s">
        <v>4</v>
      </c>
      <c r="C23" s="32">
        <f>SUM(C16:C22)</f>
        <v>308300</v>
      </c>
      <c r="D23" s="44"/>
    </row>
    <row r="24" spans="1:7" x14ac:dyDescent="0.25">
      <c r="A24" s="11"/>
      <c r="B24" s="6" t="s">
        <v>43</v>
      </c>
      <c r="C24" s="17">
        <v>63000</v>
      </c>
      <c r="D24" s="39"/>
    </row>
    <row r="25" spans="1:7" x14ac:dyDescent="0.25">
      <c r="A25" s="11"/>
      <c r="B25" s="4" t="s">
        <v>5</v>
      </c>
      <c r="C25" s="32">
        <f>SUM(C24:C24)</f>
        <v>63000</v>
      </c>
      <c r="D25" s="44"/>
    </row>
    <row r="26" spans="1:7" s="26" customFormat="1" x14ac:dyDescent="0.25">
      <c r="A26" s="11"/>
      <c r="B26" s="72" t="s">
        <v>72</v>
      </c>
      <c r="C26" s="73">
        <v>5000</v>
      </c>
      <c r="D26" s="74"/>
    </row>
    <row r="27" spans="1:7" x14ac:dyDescent="0.25">
      <c r="A27" s="8"/>
      <c r="B27" s="6" t="s">
        <v>44</v>
      </c>
      <c r="C27" s="17">
        <v>5000</v>
      </c>
      <c r="D27" s="39"/>
    </row>
    <row r="28" spans="1:7" x14ac:dyDescent="0.25">
      <c r="A28" s="8"/>
      <c r="B28" s="6" t="s">
        <v>73</v>
      </c>
      <c r="C28" s="17">
        <v>30000</v>
      </c>
      <c r="D28" s="39"/>
    </row>
    <row r="29" spans="1:7" x14ac:dyDescent="0.25">
      <c r="A29" s="11"/>
      <c r="B29" s="6" t="s">
        <v>6</v>
      </c>
      <c r="C29" s="17">
        <v>11500</v>
      </c>
      <c r="D29" s="39"/>
      <c r="G29" s="39"/>
    </row>
    <row r="30" spans="1:7" x14ac:dyDescent="0.25">
      <c r="A30" s="11"/>
      <c r="B30" s="6" t="s">
        <v>7</v>
      </c>
      <c r="C30" s="17">
        <v>118000</v>
      </c>
      <c r="D30" s="39"/>
      <c r="G30" s="39"/>
    </row>
    <row r="31" spans="1:7" x14ac:dyDescent="0.25">
      <c r="A31" s="11"/>
      <c r="B31" s="6" t="s">
        <v>45</v>
      </c>
      <c r="C31" s="17">
        <v>80000</v>
      </c>
      <c r="D31" s="39"/>
      <c r="G31" s="39"/>
    </row>
    <row r="32" spans="1:7" x14ac:dyDescent="0.25">
      <c r="A32" s="11"/>
      <c r="B32" s="6" t="s">
        <v>76</v>
      </c>
      <c r="C32" s="17">
        <v>80000</v>
      </c>
      <c r="D32" s="39"/>
      <c r="G32" s="39"/>
    </row>
    <row r="33" spans="1:7" x14ac:dyDescent="0.25">
      <c r="A33" s="11"/>
      <c r="B33" s="6" t="s">
        <v>8</v>
      </c>
      <c r="C33" s="33">
        <v>30000</v>
      </c>
      <c r="D33" s="40"/>
      <c r="G33" s="40"/>
    </row>
    <row r="34" spans="1:7" x14ac:dyDescent="0.25">
      <c r="A34" s="11"/>
      <c r="B34" s="6" t="s">
        <v>9</v>
      </c>
      <c r="C34" s="17">
        <v>66000</v>
      </c>
      <c r="D34" s="39"/>
      <c r="G34" s="39"/>
    </row>
    <row r="35" spans="1:7" x14ac:dyDescent="0.25">
      <c r="A35" s="11"/>
      <c r="B35" s="6" t="s">
        <v>47</v>
      </c>
      <c r="C35" s="17">
        <v>55000</v>
      </c>
      <c r="D35" s="39"/>
      <c r="G35" s="39"/>
    </row>
    <row r="36" spans="1:7" x14ac:dyDescent="0.25">
      <c r="A36" s="11"/>
      <c r="B36" s="6" t="s">
        <v>74</v>
      </c>
      <c r="C36" s="17">
        <v>102000</v>
      </c>
      <c r="D36" s="39"/>
      <c r="G36" s="39"/>
    </row>
    <row r="37" spans="1:7" x14ac:dyDescent="0.25">
      <c r="A37" s="11"/>
      <c r="B37" s="6" t="s">
        <v>10</v>
      </c>
      <c r="C37" s="17">
        <v>16000</v>
      </c>
      <c r="D37" s="39"/>
      <c r="G37" s="39"/>
    </row>
    <row r="38" spans="1:7" x14ac:dyDescent="0.25">
      <c r="A38" s="11"/>
      <c r="B38" s="6" t="s">
        <v>77</v>
      </c>
      <c r="C38" s="17">
        <v>13000</v>
      </c>
      <c r="D38" s="39"/>
      <c r="G38" s="39"/>
    </row>
    <row r="39" spans="1:7" x14ac:dyDescent="0.25">
      <c r="A39" s="11"/>
      <c r="B39" s="6" t="s">
        <v>48</v>
      </c>
      <c r="C39" s="17">
        <v>21000</v>
      </c>
      <c r="D39" s="39"/>
      <c r="G39" s="39"/>
    </row>
    <row r="40" spans="1:7" x14ac:dyDescent="0.25">
      <c r="A40" s="11"/>
      <c r="B40" s="6" t="s">
        <v>49</v>
      </c>
      <c r="C40" s="17">
        <v>5000</v>
      </c>
      <c r="D40" s="39"/>
      <c r="F40" s="20"/>
      <c r="G40" s="39"/>
    </row>
    <row r="41" spans="1:7" x14ac:dyDescent="0.25">
      <c r="A41" s="11"/>
      <c r="B41" s="6" t="s">
        <v>50</v>
      </c>
      <c r="C41" s="17">
        <v>26000</v>
      </c>
      <c r="D41" s="39"/>
      <c r="G41" s="39"/>
    </row>
    <row r="42" spans="1:7" x14ac:dyDescent="0.25">
      <c r="A42" s="11"/>
      <c r="B42" s="6" t="s">
        <v>11</v>
      </c>
      <c r="C42" s="17">
        <v>8000</v>
      </c>
      <c r="D42" s="39"/>
      <c r="G42" s="39"/>
    </row>
    <row r="43" spans="1:7" x14ac:dyDescent="0.25">
      <c r="A43" s="11"/>
      <c r="B43" s="6" t="s">
        <v>51</v>
      </c>
      <c r="C43" s="17">
        <v>5500</v>
      </c>
      <c r="D43" s="39"/>
      <c r="G43" s="39"/>
    </row>
    <row r="44" spans="1:7" x14ac:dyDescent="0.25">
      <c r="A44" s="11"/>
      <c r="B44" s="6" t="s">
        <v>75</v>
      </c>
      <c r="C44" s="17">
        <v>107500</v>
      </c>
      <c r="D44" s="39"/>
      <c r="G44" s="39"/>
    </row>
    <row r="45" spans="1:7" x14ac:dyDescent="0.25">
      <c r="A45" s="11"/>
      <c r="B45" s="4" t="s">
        <v>12</v>
      </c>
      <c r="C45" s="32">
        <f>SUM(C26:C44)</f>
        <v>784500</v>
      </c>
      <c r="D45" s="44"/>
      <c r="G45" s="41"/>
    </row>
    <row r="46" spans="1:7" x14ac:dyDescent="0.25">
      <c r="A46" s="8"/>
      <c r="B46" s="9"/>
      <c r="C46" s="17"/>
      <c r="D46" s="45"/>
      <c r="G46" s="41"/>
    </row>
    <row r="47" spans="1:7" x14ac:dyDescent="0.25">
      <c r="A47" s="10"/>
      <c r="B47" s="4" t="s">
        <v>13</v>
      </c>
      <c r="C47" s="34">
        <f>C15-C23-C25-C45</f>
        <v>126723</v>
      </c>
      <c r="D47" s="46"/>
    </row>
    <row r="48" spans="1:7" x14ac:dyDescent="0.25">
      <c r="B48" s="36"/>
      <c r="C48" s="37"/>
      <c r="D48" s="47"/>
    </row>
    <row r="50" spans="3:3" x14ac:dyDescent="0.25">
      <c r="C50" s="43"/>
    </row>
    <row r="51" spans="3:3" x14ac:dyDescent="0.25">
      <c r="C51" s="43"/>
    </row>
    <row r="52" spans="3:3" x14ac:dyDescent="0.25">
      <c r="C52" s="43"/>
    </row>
    <row r="53" spans="3:3" x14ac:dyDescent="0.25">
      <c r="C53" s="43"/>
    </row>
  </sheetData>
  <pageMargins left="0.35433070866141736" right="0" top="0.19685039370078741" bottom="0.23622047244094491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Balanse</vt:lpstr>
      <vt:lpstr>Resultat</vt:lpstr>
      <vt:lpstr>Budsjett 2017</vt:lpstr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solvor</dc:creator>
  <cp:lastModifiedBy>Mette Dramdal</cp:lastModifiedBy>
  <cp:lastPrinted>2017-02-17T07:40:50Z</cp:lastPrinted>
  <dcterms:created xsi:type="dcterms:W3CDTF">2009-03-25T14:10:43Z</dcterms:created>
  <dcterms:modified xsi:type="dcterms:W3CDTF">2017-02-17T07:40:57Z</dcterms:modified>
</cp:coreProperties>
</file>