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nag\OneDrive - Ås kommune\Documents\Årsmøte dokumenter KIL 2021\"/>
    </mc:Choice>
  </mc:AlternateContent>
  <xr:revisionPtr revIDLastSave="0" documentId="8_{A7C98187-BBB5-4ED4-A92A-F9A79E5D9C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sultatrapport_201803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4" i="1" l="1"/>
  <c r="D57" i="1" l="1"/>
  <c r="H36" i="1" l="1"/>
  <c r="F33" i="1" l="1"/>
  <c r="H54" i="1" l="1"/>
  <c r="D52" i="1" l="1"/>
  <c r="D41" i="1"/>
  <c r="G41" i="1"/>
  <c r="H11" i="1" l="1"/>
  <c r="E57" i="1" l="1"/>
  <c r="F54" i="1"/>
  <c r="E54" i="1"/>
  <c r="E50" i="1"/>
  <c r="H50" i="1"/>
  <c r="D44" i="1"/>
  <c r="F42" i="1"/>
  <c r="F60" i="1" s="1"/>
  <c r="H42" i="1"/>
  <c r="E41" i="1" l="1"/>
  <c r="H41" i="1"/>
  <c r="I41" i="1" s="1"/>
  <c r="E36" i="1"/>
  <c r="I36" i="1" s="1"/>
  <c r="E34" i="1"/>
  <c r="I34" i="1" s="1"/>
  <c r="D33" i="1"/>
  <c r="H33" i="1"/>
  <c r="H29" i="1"/>
  <c r="I29" i="1" s="1"/>
  <c r="I12" i="1"/>
  <c r="I13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35" i="1"/>
  <c r="I37" i="1"/>
  <c r="I38" i="1"/>
  <c r="I39" i="1"/>
  <c r="I40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5" i="1"/>
  <c r="I66" i="1"/>
  <c r="I67" i="1"/>
  <c r="I68" i="1"/>
  <c r="I69" i="1"/>
  <c r="I70" i="1"/>
  <c r="E19" i="1"/>
  <c r="I19" i="1" s="1"/>
  <c r="I11" i="1"/>
  <c r="I33" i="1" l="1"/>
  <c r="C60" i="1" l="1"/>
  <c r="F30" i="1" l="1"/>
  <c r="G30" i="1"/>
  <c r="G60" i="1"/>
  <c r="H31" i="1"/>
  <c r="I31" i="1" s="1"/>
  <c r="H32" i="1"/>
  <c r="I32" i="1" s="1"/>
  <c r="H61" i="1"/>
  <c r="I61" i="1" s="1"/>
  <c r="H63" i="1"/>
  <c r="I63" i="1" s="1"/>
  <c r="H64" i="1"/>
  <c r="I64" i="1" s="1"/>
  <c r="H72" i="1"/>
  <c r="I72" i="1" s="1"/>
  <c r="I10" i="1"/>
  <c r="F62" i="1" l="1"/>
  <c r="F73" i="1" s="1"/>
  <c r="G62" i="1"/>
  <c r="G73" i="1" s="1"/>
  <c r="C71" i="1"/>
  <c r="D71" i="1" l="1"/>
  <c r="E71" i="1"/>
  <c r="H71" i="1" l="1"/>
  <c r="I71" i="1" s="1"/>
  <c r="E60" i="1"/>
  <c r="E30" i="1"/>
  <c r="D30" i="1"/>
  <c r="C30" i="1"/>
  <c r="H30" i="1" l="1"/>
  <c r="I30" i="1" s="1"/>
  <c r="E62" i="1"/>
  <c r="E73" i="1" s="1"/>
  <c r="C62" i="1"/>
  <c r="C73" i="1" l="1"/>
  <c r="D60" i="1"/>
  <c r="H60" i="1" l="1"/>
  <c r="I60" i="1" s="1"/>
  <c r="D62" i="1"/>
  <c r="H62" i="1" l="1"/>
  <c r="I62" i="1" s="1"/>
  <c r="D73" i="1"/>
  <c r="H73" i="1" l="1"/>
  <c r="I73" i="1" s="1"/>
</calcChain>
</file>

<file path=xl/sharedStrings.xml><?xml version="1.0" encoding="utf-8"?>
<sst xmlns="http://schemas.openxmlformats.org/spreadsheetml/2006/main" count="66" uniqueCount="66">
  <si>
    <t>Resultatrapport</t>
  </si>
  <si>
    <t>Kråkstad Idrettslag</t>
  </si>
  <si>
    <t>Akkumulert</t>
  </si>
  <si>
    <t>Driftsinntekter</t>
  </si>
  <si>
    <t>Driftskostnader</t>
  </si>
  <si>
    <t>Driftsresultat</t>
  </si>
  <si>
    <t>Finansielle poster</t>
  </si>
  <si>
    <t>Ordinært resultat før skatt</t>
  </si>
  <si>
    <t>Ordinært resultat</t>
  </si>
  <si>
    <t>Årsresultat</t>
  </si>
  <si>
    <t>Fotball</t>
  </si>
  <si>
    <t>Anlegg</t>
  </si>
  <si>
    <t>Hovedlag</t>
  </si>
  <si>
    <t>Leieinntekter klubbhuset</t>
  </si>
  <si>
    <t>Sponsorinntekter</t>
  </si>
  <si>
    <t>Andre inntekter</t>
  </si>
  <si>
    <t>Inntekter fra egne arrangementer, kiosksalg</t>
  </si>
  <si>
    <t>Inngangspenger ved arrangementer</t>
  </si>
  <si>
    <t>Inntekter tennis</t>
  </si>
  <si>
    <t>Mva-kompensasjon</t>
  </si>
  <si>
    <t>Offentlige tilskudd for tjenester</t>
  </si>
  <si>
    <t>Vakthold Kråkstadhallen</t>
  </si>
  <si>
    <t>Medlemskontingenter hovedlaget</t>
  </si>
  <si>
    <t>Medlemskontingent Fotball</t>
  </si>
  <si>
    <t>Medlemskontingent Svømming</t>
  </si>
  <si>
    <t>Ski kommune</t>
  </si>
  <si>
    <t>Uff-butikkene i Norge</t>
  </si>
  <si>
    <t>Lotterier, bingo etc</t>
  </si>
  <si>
    <t>Norsk Tipping</t>
  </si>
  <si>
    <t>LAM-midler</t>
  </si>
  <si>
    <t>Dommerhonorar</t>
  </si>
  <si>
    <t>Sosiale kostnader, sessongavslutning etc</t>
  </si>
  <si>
    <t>Lønn</t>
  </si>
  <si>
    <t>Trenerhonorar</t>
  </si>
  <si>
    <t>Renhold</t>
  </si>
  <si>
    <t>Driftsmaterialer</t>
  </si>
  <si>
    <t>Telefon</t>
  </si>
  <si>
    <t>Drivstoff</t>
  </si>
  <si>
    <t>Forsikringspremier</t>
  </si>
  <si>
    <t>Gaver til ansatte</t>
  </si>
  <si>
    <t>Renovasjon, vann, avløp mv.</t>
  </si>
  <si>
    <t>Lys, varme</t>
  </si>
  <si>
    <t>Treningstøy og utstyr</t>
  </si>
  <si>
    <t>Revisjons og regnskapshonorarer</t>
  </si>
  <si>
    <t>Honorar leder og kasserer</t>
  </si>
  <si>
    <t>Innkjøp ved eget arrangement</t>
  </si>
  <si>
    <t>Innkjøp kiosk</t>
  </si>
  <si>
    <t>Kurs (trener, spiller, styret)</t>
  </si>
  <si>
    <t>Annen kostnad</t>
  </si>
  <si>
    <t>Kontingenter, fradragsberett.</t>
  </si>
  <si>
    <t>Påmelding cup, serier, turneringer etc</t>
  </si>
  <si>
    <t>Bank og kortgebyrer</t>
  </si>
  <si>
    <t>Reparasjon og vedlikehold annet</t>
  </si>
  <si>
    <t>Renteinntekter</t>
  </si>
  <si>
    <t>Rentekostnader</t>
  </si>
  <si>
    <t>Svømming</t>
  </si>
  <si>
    <t>Gaver</t>
  </si>
  <si>
    <t>Kontroll</t>
  </si>
  <si>
    <t>Hjellsåstårnet</t>
  </si>
  <si>
    <t>Gjelder periode: 01.01.2020 - 31.12.2020</t>
  </si>
  <si>
    <t>Inntekter tuftepark</t>
  </si>
  <si>
    <t>Inntekter baneleie</t>
  </si>
  <si>
    <t>Kompensasjon korona</t>
  </si>
  <si>
    <t>Reparasjon og vedlikehold bygninger</t>
  </si>
  <si>
    <t>Vedlikehold transportmidler</t>
  </si>
  <si>
    <t>Annen kostnad, fradragsberettiget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</si>
</sst>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0" fillId="33" borderId="0" xfId="0" applyFill="1" applyAlignment="1">
      <alignment horizontal="left"/>
    </xf>
    <xf numFmtId="165" fontId="0" fillId="33" borderId="0" xfId="42" applyNumberFormat="1" applyFont="1" applyFill="1"/>
    <xf numFmtId="0" fontId="0" fillId="33" borderId="0" xfId="0" applyFill="1"/>
    <xf numFmtId="0" fontId="16" fillId="33" borderId="0" xfId="0" applyFont="1" applyFill="1" applyAlignment="1">
      <alignment horizontal="left"/>
    </xf>
    <xf numFmtId="165" fontId="16" fillId="33" borderId="0" xfId="42" applyNumberFormat="1" applyFont="1" applyFill="1"/>
    <xf numFmtId="0" fontId="16" fillId="33" borderId="0" xfId="0" applyFont="1" applyFill="1"/>
    <xf numFmtId="165" fontId="0" fillId="33" borderId="0" xfId="0" applyNumberFormat="1" applyFill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mma" xfId="42" builtinId="3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7"/>
  <sheetViews>
    <sheetView tabSelected="1" workbookViewId="0">
      <selection activeCell="O29" sqref="O29"/>
    </sheetView>
  </sheetViews>
  <sheetFormatPr baseColWidth="10" defaultColWidth="11.42578125" defaultRowHeight="15" x14ac:dyDescent="0.25"/>
  <cols>
    <col min="1" max="1" width="17.28515625" style="1" customWidth="1"/>
    <col min="2" max="2" width="40.28515625" style="1" customWidth="1"/>
    <col min="3" max="3" width="13" style="2" bestFit="1" customWidth="1"/>
    <col min="4" max="6" width="11.42578125" style="2"/>
    <col min="7" max="7" width="15" style="2" customWidth="1"/>
    <col min="8" max="8" width="11.42578125" style="2"/>
    <col min="9" max="9" width="11.42578125" style="3"/>
    <col min="10" max="11" width="0" style="3" hidden="1" customWidth="1"/>
    <col min="12" max="16384" width="11.42578125" style="3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>
        <v>984392699</v>
      </c>
    </row>
    <row r="5" spans="1:9" x14ac:dyDescent="0.25">
      <c r="A5" s="1" t="s">
        <v>59</v>
      </c>
    </row>
    <row r="7" spans="1:9" s="6" customFormat="1" x14ac:dyDescent="0.25">
      <c r="A7" s="4"/>
      <c r="B7" s="4"/>
      <c r="C7" s="5" t="s">
        <v>2</v>
      </c>
      <c r="D7" s="5" t="s">
        <v>11</v>
      </c>
      <c r="E7" s="5" t="s">
        <v>10</v>
      </c>
      <c r="F7" s="5" t="s">
        <v>55</v>
      </c>
      <c r="G7" s="5" t="s">
        <v>58</v>
      </c>
      <c r="H7" s="5" t="s">
        <v>12</v>
      </c>
      <c r="I7" s="5" t="s">
        <v>57</v>
      </c>
    </row>
    <row r="9" spans="1:9" s="6" customFormat="1" x14ac:dyDescent="0.25">
      <c r="A9" s="4" t="s">
        <v>3</v>
      </c>
      <c r="B9" s="4"/>
      <c r="C9" s="5"/>
      <c r="D9" s="5"/>
      <c r="E9" s="5"/>
      <c r="F9" s="5"/>
      <c r="G9" s="5"/>
      <c r="H9" s="5"/>
    </row>
    <row r="10" spans="1:9" x14ac:dyDescent="0.25">
      <c r="A10" s="1">
        <v>3120</v>
      </c>
      <c r="B10" s="1" t="s">
        <v>13</v>
      </c>
      <c r="C10" s="2">
        <v>8100</v>
      </c>
      <c r="D10" s="2">
        <v>8100</v>
      </c>
      <c r="I10" s="7">
        <f>+C10-D10-E10-H10-F10-G10</f>
        <v>0</v>
      </c>
    </row>
    <row r="11" spans="1:9" x14ac:dyDescent="0.25">
      <c r="A11" s="1">
        <v>3123</v>
      </c>
      <c r="B11" s="1" t="s">
        <v>14</v>
      </c>
      <c r="C11" s="2">
        <v>81000</v>
      </c>
      <c r="D11" s="2">
        <v>20000</v>
      </c>
      <c r="E11" s="2">
        <v>25000</v>
      </c>
      <c r="H11" s="2">
        <f>36000</f>
        <v>36000</v>
      </c>
      <c r="I11" s="7">
        <f>+C11-D11-E11-H11-F11-G11</f>
        <v>0</v>
      </c>
    </row>
    <row r="12" spans="1:9" x14ac:dyDescent="0.25">
      <c r="A12" s="1">
        <v>3124</v>
      </c>
      <c r="B12" s="1" t="s">
        <v>15</v>
      </c>
      <c r="C12" s="2">
        <v>48700</v>
      </c>
      <c r="E12" s="2">
        <v>900</v>
      </c>
      <c r="G12" s="2">
        <v>42800</v>
      </c>
      <c r="H12" s="2">
        <v>5000</v>
      </c>
      <c r="I12" s="7">
        <f t="shared" ref="I12:I68" si="0">+C12-D12-E12-H12-F12-G12</f>
        <v>0</v>
      </c>
    </row>
    <row r="13" spans="1:9" x14ac:dyDescent="0.25">
      <c r="A13" s="1">
        <v>3250</v>
      </c>
      <c r="B13" s="1" t="s">
        <v>16</v>
      </c>
      <c r="C13" s="2">
        <v>11246.55</v>
      </c>
      <c r="E13" s="2">
        <v>11246.55</v>
      </c>
      <c r="I13" s="7">
        <f t="shared" si="0"/>
        <v>0</v>
      </c>
    </row>
    <row r="14" spans="1:9" x14ac:dyDescent="0.25">
      <c r="A14" s="1">
        <v>3251</v>
      </c>
      <c r="B14" s="1" t="s">
        <v>17</v>
      </c>
      <c r="C14" s="2">
        <v>2711.7</v>
      </c>
      <c r="F14" s="2">
        <v>2712</v>
      </c>
      <c r="I14" s="7">
        <f t="shared" si="0"/>
        <v>-0.3000000000001819</v>
      </c>
    </row>
    <row r="15" spans="1:9" x14ac:dyDescent="0.25">
      <c r="A15" s="1">
        <v>3254</v>
      </c>
      <c r="B15" s="1" t="s">
        <v>18</v>
      </c>
      <c r="C15" s="2">
        <v>8969.27</v>
      </c>
      <c r="H15" s="2">
        <v>8969</v>
      </c>
      <c r="I15" s="7">
        <f t="shared" si="0"/>
        <v>0.27000000000043656</v>
      </c>
    </row>
    <row r="16" spans="1:9" x14ac:dyDescent="0.25">
      <c r="A16" s="1">
        <v>3255</v>
      </c>
      <c r="B16" s="1" t="s">
        <v>60</v>
      </c>
      <c r="C16" s="2">
        <v>152456.25</v>
      </c>
      <c r="D16" s="2">
        <v>152456</v>
      </c>
      <c r="I16" s="7">
        <f t="shared" si="0"/>
        <v>0.25</v>
      </c>
    </row>
    <row r="17" spans="1:11" x14ac:dyDescent="0.25">
      <c r="A17" s="1">
        <v>3256</v>
      </c>
      <c r="B17" s="1" t="s">
        <v>61</v>
      </c>
      <c r="C17" s="2">
        <v>7100</v>
      </c>
      <c r="D17" s="2">
        <v>7100</v>
      </c>
      <c r="I17" s="7">
        <f t="shared" si="0"/>
        <v>0</v>
      </c>
    </row>
    <row r="18" spans="1:11" x14ac:dyDescent="0.25">
      <c r="A18" s="1">
        <v>3400</v>
      </c>
      <c r="B18" s="1" t="s">
        <v>19</v>
      </c>
      <c r="C18" s="2">
        <v>22911</v>
      </c>
      <c r="H18" s="2">
        <v>22911</v>
      </c>
      <c r="I18" s="7">
        <f t="shared" si="0"/>
        <v>0</v>
      </c>
    </row>
    <row r="19" spans="1:11" x14ac:dyDescent="0.25">
      <c r="A19" s="1">
        <v>3410</v>
      </c>
      <c r="B19" s="1" t="s">
        <v>62</v>
      </c>
      <c r="C19" s="2">
        <v>69809</v>
      </c>
      <c r="D19" s="2">
        <v>11932</v>
      </c>
      <c r="E19" s="2">
        <f>52544+1833</f>
        <v>54377</v>
      </c>
      <c r="F19" s="2">
        <v>3500</v>
      </c>
      <c r="I19" s="7">
        <f t="shared" si="0"/>
        <v>0</v>
      </c>
    </row>
    <row r="20" spans="1:11" x14ac:dyDescent="0.25">
      <c r="A20" s="1">
        <v>3440</v>
      </c>
      <c r="B20" s="1" t="s">
        <v>20</v>
      </c>
      <c r="C20" s="2">
        <v>150000</v>
      </c>
      <c r="D20" s="2">
        <v>150000</v>
      </c>
      <c r="I20" s="7">
        <f t="shared" si="0"/>
        <v>0</v>
      </c>
    </row>
    <row r="21" spans="1:11" x14ac:dyDescent="0.25">
      <c r="A21" s="1">
        <v>3919</v>
      </c>
      <c r="B21" s="1" t="s">
        <v>21</v>
      </c>
      <c r="C21" s="2">
        <v>55000</v>
      </c>
      <c r="H21" s="2">
        <v>55000</v>
      </c>
      <c r="I21" s="7">
        <f t="shared" si="0"/>
        <v>0</v>
      </c>
    </row>
    <row r="22" spans="1:11" x14ac:dyDescent="0.25">
      <c r="A22" s="1">
        <v>3920</v>
      </c>
      <c r="B22" s="1" t="s">
        <v>22</v>
      </c>
      <c r="C22" s="2">
        <v>84275</v>
      </c>
      <c r="H22" s="2">
        <v>84275</v>
      </c>
      <c r="I22" s="7">
        <f t="shared" si="0"/>
        <v>0</v>
      </c>
    </row>
    <row r="23" spans="1:11" x14ac:dyDescent="0.25">
      <c r="A23" s="1">
        <v>3921</v>
      </c>
      <c r="B23" s="1" t="s">
        <v>23</v>
      </c>
      <c r="C23" s="2">
        <v>83550</v>
      </c>
      <c r="E23" s="2">
        <v>83550</v>
      </c>
      <c r="I23" s="7">
        <f t="shared" si="0"/>
        <v>0</v>
      </c>
    </row>
    <row r="24" spans="1:11" x14ac:dyDescent="0.25">
      <c r="A24" s="1">
        <v>3922</v>
      </c>
      <c r="B24" s="1" t="s">
        <v>24</v>
      </c>
      <c r="C24" s="2">
        <v>38400</v>
      </c>
      <c r="F24" s="2">
        <v>38400</v>
      </c>
      <c r="I24" s="7">
        <f t="shared" si="0"/>
        <v>0</v>
      </c>
    </row>
    <row r="25" spans="1:11" x14ac:dyDescent="0.25">
      <c r="A25" s="1">
        <v>3946</v>
      </c>
      <c r="B25" s="1" t="s">
        <v>25</v>
      </c>
      <c r="C25" s="2">
        <v>10800</v>
      </c>
      <c r="H25" s="2">
        <v>10800</v>
      </c>
      <c r="I25" s="7">
        <f t="shared" si="0"/>
        <v>0</v>
      </c>
    </row>
    <row r="26" spans="1:11" x14ac:dyDescent="0.25">
      <c r="A26" s="1">
        <v>3947</v>
      </c>
      <c r="B26" s="1" t="s">
        <v>26</v>
      </c>
      <c r="C26" s="2">
        <v>1470</v>
      </c>
      <c r="H26" s="2">
        <v>1470</v>
      </c>
      <c r="I26" s="7">
        <f t="shared" si="0"/>
        <v>0</v>
      </c>
    </row>
    <row r="27" spans="1:11" x14ac:dyDescent="0.25">
      <c r="A27" s="1">
        <v>3948</v>
      </c>
      <c r="B27" s="1" t="s">
        <v>27</v>
      </c>
      <c r="C27" s="2">
        <v>83927.71</v>
      </c>
      <c r="H27" s="2">
        <v>83928</v>
      </c>
      <c r="I27" s="7">
        <f t="shared" si="0"/>
        <v>-0.28999999999359716</v>
      </c>
    </row>
    <row r="28" spans="1:11" x14ac:dyDescent="0.25">
      <c r="A28" s="1">
        <v>3949</v>
      </c>
      <c r="B28" s="1" t="s">
        <v>28</v>
      </c>
      <c r="C28" s="2">
        <v>67609.89</v>
      </c>
      <c r="H28" s="2">
        <v>67610</v>
      </c>
      <c r="I28" s="7">
        <f t="shared" si="0"/>
        <v>-0.11000000000058208</v>
      </c>
    </row>
    <row r="29" spans="1:11" x14ac:dyDescent="0.25">
      <c r="A29" s="1">
        <v>3951</v>
      </c>
      <c r="B29" s="1" t="s">
        <v>29</v>
      </c>
      <c r="C29" s="2">
        <v>71097</v>
      </c>
      <c r="E29" s="2">
        <v>40275</v>
      </c>
      <c r="F29" s="2">
        <v>16850</v>
      </c>
      <c r="H29" s="2">
        <f>4110+4521+1644+1644+1233+820</f>
        <v>13972</v>
      </c>
      <c r="I29" s="7">
        <f t="shared" si="0"/>
        <v>0</v>
      </c>
    </row>
    <row r="30" spans="1:11" s="6" customFormat="1" x14ac:dyDescent="0.25">
      <c r="A30" s="4"/>
      <c r="B30" s="4"/>
      <c r="C30" s="5">
        <f>SUM(C10:C29)</f>
        <v>1059133.3700000001</v>
      </c>
      <c r="D30" s="5">
        <f>SUM(D10:D29)</f>
        <v>349588</v>
      </c>
      <c r="E30" s="5">
        <f>SUM(E10:E29)</f>
        <v>215348.55</v>
      </c>
      <c r="F30" s="5">
        <f>SUM(F10:F29)</f>
        <v>61462</v>
      </c>
      <c r="G30" s="5">
        <f>SUM(G10:G29)</f>
        <v>42800</v>
      </c>
      <c r="H30" s="5">
        <f t="shared" ref="H30:H32" si="1">SUM(C30-D30-E30-F30-G30)</f>
        <v>389934.82000000012</v>
      </c>
      <c r="I30" s="7">
        <f t="shared" si="0"/>
        <v>0</v>
      </c>
      <c r="J30" s="5"/>
      <c r="K30" s="5"/>
    </row>
    <row r="31" spans="1:11" x14ac:dyDescent="0.25">
      <c r="H31" s="2">
        <f t="shared" si="1"/>
        <v>0</v>
      </c>
      <c r="I31" s="7">
        <f t="shared" si="0"/>
        <v>0</v>
      </c>
    </row>
    <row r="32" spans="1:11" s="6" customFormat="1" x14ac:dyDescent="0.25">
      <c r="A32" s="4" t="s">
        <v>4</v>
      </c>
      <c r="B32" s="4"/>
      <c r="C32" s="5"/>
      <c r="D32" s="5"/>
      <c r="E32" s="5"/>
      <c r="F32" s="5"/>
      <c r="G32" s="5"/>
      <c r="H32" s="2">
        <f t="shared" si="1"/>
        <v>0</v>
      </c>
      <c r="I32" s="7">
        <f t="shared" si="0"/>
        <v>0</v>
      </c>
    </row>
    <row r="33" spans="1:9" x14ac:dyDescent="0.25">
      <c r="A33" s="1">
        <v>5000</v>
      </c>
      <c r="B33" s="1" t="s">
        <v>32</v>
      </c>
      <c r="C33" s="2">
        <v>66630</v>
      </c>
      <c r="D33" s="2">
        <f>350+420+280+1400+640+1440+1760+1680+960+1040+1040+800+1360+1260+3200</f>
        <v>17630</v>
      </c>
      <c r="F33" s="2">
        <f>3000+3000+1000</f>
        <v>7000</v>
      </c>
      <c r="H33" s="2">
        <f>5000+5000+5000+5000+5000+5000+4000+4000+4000</f>
        <v>42000</v>
      </c>
      <c r="I33" s="7">
        <f t="shared" si="0"/>
        <v>0</v>
      </c>
    </row>
    <row r="34" spans="1:9" x14ac:dyDescent="0.25">
      <c r="A34" s="1">
        <v>5010</v>
      </c>
      <c r="B34" s="1" t="s">
        <v>33</v>
      </c>
      <c r="C34" s="2">
        <v>108687</v>
      </c>
      <c r="E34" s="2">
        <f>1000+2000+2000+2000+2000+6000+4000+4000+2000+2000+2000</f>
        <v>29000</v>
      </c>
      <c r="F34" s="2">
        <f>4650+3090+1800+2688+2990+3018+510+1470+805+1785+1925+1190+3018+2423+1659+4140+3680+1380+4585+10400+12076+4655+3623+2127</f>
        <v>79687</v>
      </c>
      <c r="I34" s="7">
        <f t="shared" si="0"/>
        <v>0</v>
      </c>
    </row>
    <row r="35" spans="1:9" x14ac:dyDescent="0.25">
      <c r="A35" s="1">
        <v>5011</v>
      </c>
      <c r="B35" s="1" t="s">
        <v>30</v>
      </c>
      <c r="C35" s="2">
        <v>6323</v>
      </c>
      <c r="E35" s="2">
        <v>6323</v>
      </c>
      <c r="I35" s="7">
        <f t="shared" si="0"/>
        <v>0</v>
      </c>
    </row>
    <row r="36" spans="1:9" x14ac:dyDescent="0.25">
      <c r="A36" s="1">
        <v>5561</v>
      </c>
      <c r="B36" s="1" t="s">
        <v>31</v>
      </c>
      <c r="C36" s="2">
        <v>15720.68</v>
      </c>
      <c r="E36" s="2">
        <f>635+650.1</f>
        <v>1285.0999999999999</v>
      </c>
      <c r="G36" s="2">
        <v>860</v>
      </c>
      <c r="H36" s="2">
        <f>7645+2012.5+200+1835.4+49.8+149.7+1683</f>
        <v>13575.4</v>
      </c>
      <c r="I36" s="7">
        <f t="shared" si="0"/>
        <v>0.18000000000029104</v>
      </c>
    </row>
    <row r="37" spans="1:9" x14ac:dyDescent="0.25">
      <c r="A37" s="1">
        <v>5900</v>
      </c>
      <c r="B37" s="1" t="s">
        <v>39</v>
      </c>
      <c r="C37" s="2">
        <v>513</v>
      </c>
      <c r="F37" s="2">
        <v>513</v>
      </c>
      <c r="I37" s="7">
        <f t="shared" si="0"/>
        <v>0</v>
      </c>
    </row>
    <row r="38" spans="1:9" x14ac:dyDescent="0.25">
      <c r="A38" s="1">
        <v>6320</v>
      </c>
      <c r="B38" s="1" t="s">
        <v>40</v>
      </c>
      <c r="C38" s="2">
        <v>19169.98</v>
      </c>
      <c r="D38" s="2">
        <v>19170</v>
      </c>
      <c r="I38" s="7">
        <f t="shared" si="0"/>
        <v>-2.0000000000436557E-2</v>
      </c>
    </row>
    <row r="39" spans="1:9" x14ac:dyDescent="0.25">
      <c r="A39" s="1">
        <v>6340</v>
      </c>
      <c r="B39" s="1" t="s">
        <v>41</v>
      </c>
      <c r="C39" s="2">
        <v>46228.72</v>
      </c>
      <c r="D39" s="2">
        <v>46229</v>
      </c>
      <c r="I39" s="7">
        <f t="shared" si="0"/>
        <v>-0.27999999999883585</v>
      </c>
    </row>
    <row r="40" spans="1:9" x14ac:dyDescent="0.25">
      <c r="A40" s="1">
        <v>6360</v>
      </c>
      <c r="B40" s="1" t="s">
        <v>34</v>
      </c>
      <c r="C40" s="2">
        <v>5925.17</v>
      </c>
      <c r="D40" s="2">
        <v>5925</v>
      </c>
      <c r="I40" s="7">
        <f t="shared" si="0"/>
        <v>0.17000000000007276</v>
      </c>
    </row>
    <row r="41" spans="1:9" x14ac:dyDescent="0.25">
      <c r="A41" s="1">
        <v>6550</v>
      </c>
      <c r="B41" s="1" t="s">
        <v>35</v>
      </c>
      <c r="C41" s="2">
        <v>22771.99</v>
      </c>
      <c r="D41" s="2">
        <f>28.4+75.2+235.9+968+1745.8+1144+2361+422</f>
        <v>6980.3</v>
      </c>
      <c r="E41" s="2">
        <f>369+115.9+199+391+35.9+9250+629</f>
        <v>10989.8</v>
      </c>
      <c r="G41" s="2">
        <f>170+937.79+301</f>
        <v>1408.79</v>
      </c>
      <c r="H41" s="2">
        <f>2017+12.6+1363.5</f>
        <v>3393.1</v>
      </c>
      <c r="I41" s="7">
        <f t="shared" si="0"/>
        <v>3.1832314562052488E-12</v>
      </c>
    </row>
    <row r="42" spans="1:9" x14ac:dyDescent="0.25">
      <c r="A42" s="1">
        <v>6570</v>
      </c>
      <c r="B42" s="1" t="s">
        <v>42</v>
      </c>
      <c r="C42" s="2">
        <v>7802</v>
      </c>
      <c r="F42" s="2">
        <f>3325+720+599</f>
        <v>4644</v>
      </c>
      <c r="H42" s="2">
        <f>3158</f>
        <v>3158</v>
      </c>
      <c r="I42" s="7">
        <f t="shared" si="0"/>
        <v>0</v>
      </c>
    </row>
    <row r="43" spans="1:9" x14ac:dyDescent="0.25">
      <c r="A43" s="1">
        <v>6600</v>
      </c>
      <c r="B43" s="1" t="s">
        <v>63</v>
      </c>
      <c r="C43" s="2">
        <v>10182.75</v>
      </c>
      <c r="D43" s="2">
        <v>10183</v>
      </c>
      <c r="I43" s="7">
        <f t="shared" si="0"/>
        <v>-0.25</v>
      </c>
    </row>
    <row r="44" spans="1:9" x14ac:dyDescent="0.25">
      <c r="A44" s="1">
        <v>6690</v>
      </c>
      <c r="B44" s="1" t="s">
        <v>52</v>
      </c>
      <c r="C44" s="2">
        <v>30432.45</v>
      </c>
      <c r="D44" s="2">
        <f>14875+3667.95+3825+1752</f>
        <v>24119.95</v>
      </c>
      <c r="H44" s="2">
        <v>6312.5</v>
      </c>
      <c r="I44" s="7">
        <f t="shared" si="0"/>
        <v>0</v>
      </c>
    </row>
    <row r="45" spans="1:9" x14ac:dyDescent="0.25">
      <c r="A45" s="1">
        <v>6700</v>
      </c>
      <c r="B45" s="1" t="s">
        <v>43</v>
      </c>
      <c r="C45" s="2">
        <v>10000</v>
      </c>
      <c r="H45" s="2">
        <v>10000</v>
      </c>
      <c r="I45" s="7">
        <f t="shared" si="0"/>
        <v>0</v>
      </c>
    </row>
    <row r="46" spans="1:9" x14ac:dyDescent="0.25">
      <c r="A46" s="1">
        <v>6704</v>
      </c>
      <c r="B46" s="1" t="s">
        <v>44</v>
      </c>
      <c r="C46" s="2">
        <v>20000</v>
      </c>
      <c r="H46" s="2">
        <v>20000</v>
      </c>
      <c r="I46" s="7">
        <f t="shared" si="0"/>
        <v>0</v>
      </c>
    </row>
    <row r="47" spans="1:9" x14ac:dyDescent="0.25">
      <c r="A47" s="1">
        <v>6850</v>
      </c>
      <c r="B47" s="1" t="s">
        <v>45</v>
      </c>
      <c r="C47" s="2">
        <v>1377.5</v>
      </c>
      <c r="E47" s="2">
        <v>1377.5</v>
      </c>
      <c r="I47" s="7">
        <f t="shared" si="0"/>
        <v>0</v>
      </c>
    </row>
    <row r="48" spans="1:9" x14ac:dyDescent="0.25">
      <c r="A48" s="1">
        <v>6851</v>
      </c>
      <c r="B48" s="1" t="s">
        <v>46</v>
      </c>
      <c r="C48" s="2">
        <v>16428.66</v>
      </c>
      <c r="E48" s="2">
        <v>16429</v>
      </c>
      <c r="I48" s="7">
        <f t="shared" si="0"/>
        <v>-0.34000000000014552</v>
      </c>
    </row>
    <row r="49" spans="1:9" x14ac:dyDescent="0.25">
      <c r="A49" s="1">
        <v>6860</v>
      </c>
      <c r="B49" s="1" t="s">
        <v>47</v>
      </c>
      <c r="C49" s="2">
        <v>1000</v>
      </c>
      <c r="F49" s="2">
        <v>1000</v>
      </c>
      <c r="I49" s="7">
        <f t="shared" si="0"/>
        <v>0</v>
      </c>
    </row>
    <row r="50" spans="1:9" x14ac:dyDescent="0.25">
      <c r="A50" s="1">
        <v>6890</v>
      </c>
      <c r="B50" s="1" t="s">
        <v>48</v>
      </c>
      <c r="C50" s="2">
        <v>22930.25</v>
      </c>
      <c r="E50" s="2">
        <f>1200+100</f>
        <v>1300</v>
      </c>
      <c r="G50" s="2">
        <v>480</v>
      </c>
      <c r="H50" s="2">
        <f>800+4020+200+12991.25+120+3019</f>
        <v>21150.25</v>
      </c>
      <c r="I50" s="7">
        <f t="shared" si="0"/>
        <v>0</v>
      </c>
    </row>
    <row r="51" spans="1:9" x14ac:dyDescent="0.25">
      <c r="A51" s="1">
        <v>6900</v>
      </c>
      <c r="B51" s="1" t="s">
        <v>36</v>
      </c>
      <c r="C51" s="2">
        <v>3922</v>
      </c>
      <c r="H51" s="2">
        <v>3922</v>
      </c>
      <c r="I51" s="7">
        <f t="shared" si="0"/>
        <v>0</v>
      </c>
    </row>
    <row r="52" spans="1:9" x14ac:dyDescent="0.25">
      <c r="A52" s="1">
        <v>7000</v>
      </c>
      <c r="B52" s="1" t="s">
        <v>37</v>
      </c>
      <c r="C52" s="2">
        <v>2708.9</v>
      </c>
      <c r="D52" s="2">
        <f>2709-910</f>
        <v>1799</v>
      </c>
      <c r="G52" s="2">
        <v>910</v>
      </c>
      <c r="I52" s="7">
        <f t="shared" si="0"/>
        <v>-9.9999999999909051E-2</v>
      </c>
    </row>
    <row r="53" spans="1:9" x14ac:dyDescent="0.25">
      <c r="A53" s="1">
        <v>7020</v>
      </c>
      <c r="B53" s="1" t="s">
        <v>64</v>
      </c>
      <c r="C53" s="2">
        <v>19575</v>
      </c>
      <c r="G53" s="2">
        <v>19575</v>
      </c>
      <c r="I53" s="7">
        <f t="shared" si="0"/>
        <v>0</v>
      </c>
    </row>
    <row r="54" spans="1:9" x14ac:dyDescent="0.25">
      <c r="A54" s="1">
        <v>7400</v>
      </c>
      <c r="B54" s="1" t="s">
        <v>49</v>
      </c>
      <c r="C54" s="2">
        <v>38100</v>
      </c>
      <c r="E54" s="2">
        <f>15000+650+800+1600+800+1250+3500</f>
        <v>23600</v>
      </c>
      <c r="F54" s="2">
        <f>3000+2000</f>
        <v>5000</v>
      </c>
      <c r="H54" s="2">
        <f>2000+2000+1500+4000</f>
        <v>9500</v>
      </c>
      <c r="I54" s="7">
        <f t="shared" si="0"/>
        <v>0</v>
      </c>
    </row>
    <row r="55" spans="1:9" x14ac:dyDescent="0.25">
      <c r="A55" s="1">
        <v>7415</v>
      </c>
      <c r="B55" s="1" t="s">
        <v>50</v>
      </c>
      <c r="C55" s="2">
        <v>28872</v>
      </c>
      <c r="E55" s="2">
        <v>28322</v>
      </c>
      <c r="H55" s="2">
        <v>550</v>
      </c>
      <c r="I55" s="7">
        <f t="shared" si="0"/>
        <v>0</v>
      </c>
    </row>
    <row r="56" spans="1:9" x14ac:dyDescent="0.25">
      <c r="A56" s="1">
        <v>7420</v>
      </c>
      <c r="B56" s="1" t="s">
        <v>56</v>
      </c>
      <c r="C56" s="2">
        <v>1000</v>
      </c>
      <c r="H56" s="2">
        <v>1000</v>
      </c>
      <c r="I56" s="7">
        <f t="shared" si="0"/>
        <v>0</v>
      </c>
    </row>
    <row r="57" spans="1:9" x14ac:dyDescent="0.25">
      <c r="A57" s="1">
        <v>7500</v>
      </c>
      <c r="B57" s="1" t="s">
        <v>38</v>
      </c>
      <c r="C57" s="2">
        <v>55541</v>
      </c>
      <c r="D57" s="2">
        <f>43291-8250</f>
        <v>35041</v>
      </c>
      <c r="E57" s="2">
        <f>15800-3550</f>
        <v>12250</v>
      </c>
      <c r="H57" s="2">
        <v>8250</v>
      </c>
      <c r="I57" s="7">
        <f t="shared" si="0"/>
        <v>0</v>
      </c>
    </row>
    <row r="58" spans="1:9" x14ac:dyDescent="0.25">
      <c r="A58" s="1">
        <v>7770</v>
      </c>
      <c r="B58" s="1" t="s">
        <v>51</v>
      </c>
      <c r="C58" s="2">
        <v>7424.56</v>
      </c>
      <c r="H58" s="2">
        <v>7425</v>
      </c>
      <c r="I58" s="7">
        <f t="shared" si="0"/>
        <v>-0.43999999999959982</v>
      </c>
    </row>
    <row r="59" spans="1:9" x14ac:dyDescent="0.25">
      <c r="A59" s="1">
        <v>7798</v>
      </c>
      <c r="B59" s="1" t="s">
        <v>65</v>
      </c>
      <c r="C59" s="2">
        <v>140</v>
      </c>
      <c r="F59" s="2">
        <v>70</v>
      </c>
      <c r="H59" s="2">
        <v>70</v>
      </c>
      <c r="I59" s="7">
        <f t="shared" si="0"/>
        <v>0</v>
      </c>
    </row>
    <row r="60" spans="1:9" s="6" customFormat="1" x14ac:dyDescent="0.25">
      <c r="A60" s="4"/>
      <c r="B60" s="4"/>
      <c r="C60" s="5">
        <f>SUM(C33:C59)</f>
        <v>569406.6100000001</v>
      </c>
      <c r="D60" s="5">
        <f>SUM(D33:D58)</f>
        <v>167077.25</v>
      </c>
      <c r="E60" s="5">
        <f>SUM(E33:E58)</f>
        <v>130876.4</v>
      </c>
      <c r="F60" s="5">
        <f>SUM(F33:F59)</f>
        <v>97914</v>
      </c>
      <c r="G60" s="5">
        <f>SUM(G33:G58)</f>
        <v>23233.79</v>
      </c>
      <c r="H60" s="5">
        <f t="shared" ref="H60:H64" si="2">SUM(C60-D60-E60-F60-G60)</f>
        <v>150305.17000000007</v>
      </c>
      <c r="I60" s="7">
        <f t="shared" si="0"/>
        <v>0</v>
      </c>
    </row>
    <row r="61" spans="1:9" x14ac:dyDescent="0.25">
      <c r="H61" s="2">
        <f t="shared" si="2"/>
        <v>0</v>
      </c>
      <c r="I61" s="7">
        <f t="shared" si="0"/>
        <v>0</v>
      </c>
    </row>
    <row r="62" spans="1:9" s="6" customFormat="1" x14ac:dyDescent="0.25">
      <c r="A62" s="4" t="s">
        <v>5</v>
      </c>
      <c r="B62" s="4"/>
      <c r="C62" s="5">
        <f>+C30-C60</f>
        <v>489726.76</v>
      </c>
      <c r="D62" s="5">
        <f>+D30-D60</f>
        <v>182510.75</v>
      </c>
      <c r="E62" s="5">
        <f>+E30-E60</f>
        <v>84472.15</v>
      </c>
      <c r="F62" s="5">
        <f>+F30-F60</f>
        <v>-36452</v>
      </c>
      <c r="G62" s="5">
        <f>+G30-G60</f>
        <v>19566.21</v>
      </c>
      <c r="H62" s="5">
        <f t="shared" si="2"/>
        <v>239629.65000000002</v>
      </c>
      <c r="I62" s="7">
        <f t="shared" si="0"/>
        <v>0</v>
      </c>
    </row>
    <row r="63" spans="1:9" x14ac:dyDescent="0.25">
      <c r="H63" s="2">
        <f t="shared" si="2"/>
        <v>0</v>
      </c>
      <c r="I63" s="7">
        <f t="shared" si="0"/>
        <v>0</v>
      </c>
    </row>
    <row r="64" spans="1:9" x14ac:dyDescent="0.25">
      <c r="A64" s="1" t="s">
        <v>6</v>
      </c>
      <c r="H64" s="2">
        <f t="shared" si="2"/>
        <v>0</v>
      </c>
      <c r="I64" s="7">
        <f t="shared" si="0"/>
        <v>0</v>
      </c>
    </row>
    <row r="65" spans="1:9" x14ac:dyDescent="0.25">
      <c r="A65" s="1">
        <v>8040</v>
      </c>
      <c r="B65" s="1" t="s">
        <v>53</v>
      </c>
      <c r="C65" s="2">
        <v>8698.23</v>
      </c>
      <c r="H65" s="2">
        <v>8698</v>
      </c>
      <c r="I65" s="7">
        <f t="shared" si="0"/>
        <v>0.22999999999956344</v>
      </c>
    </row>
    <row r="66" spans="1:9" hidden="1" x14ac:dyDescent="0.25">
      <c r="I66" s="7">
        <f t="shared" si="0"/>
        <v>0</v>
      </c>
    </row>
    <row r="67" spans="1:9" hidden="1" x14ac:dyDescent="0.25">
      <c r="A67" s="1" t="s">
        <v>7</v>
      </c>
      <c r="I67" s="7">
        <f t="shared" si="0"/>
        <v>0</v>
      </c>
    </row>
    <row r="68" spans="1:9" hidden="1" x14ac:dyDescent="0.25">
      <c r="I68" s="7">
        <f t="shared" si="0"/>
        <v>0</v>
      </c>
    </row>
    <row r="69" spans="1:9" hidden="1" x14ac:dyDescent="0.25">
      <c r="A69" s="1" t="s">
        <v>8</v>
      </c>
      <c r="I69" s="7">
        <f t="shared" ref="I69:I73" si="3">+C69-D69-E69-H69-F69-G69</f>
        <v>0</v>
      </c>
    </row>
    <row r="70" spans="1:9" x14ac:dyDescent="0.25">
      <c r="A70" s="1">
        <v>8155</v>
      </c>
      <c r="B70" s="1" t="s">
        <v>54</v>
      </c>
      <c r="C70" s="2">
        <v>59.84</v>
      </c>
      <c r="H70" s="2">
        <v>60</v>
      </c>
      <c r="I70" s="7">
        <f t="shared" si="3"/>
        <v>-0.15999999999999659</v>
      </c>
    </row>
    <row r="71" spans="1:9" s="6" customFormat="1" x14ac:dyDescent="0.25">
      <c r="A71" s="4"/>
      <c r="B71" s="4"/>
      <c r="C71" s="5">
        <f>+C65-C70</f>
        <v>8638.39</v>
      </c>
      <c r="D71" s="5">
        <f t="shared" ref="D71:E71" si="4">+D65+D70</f>
        <v>0</v>
      </c>
      <c r="E71" s="5">
        <f t="shared" si="4"/>
        <v>0</v>
      </c>
      <c r="F71" s="5"/>
      <c r="G71" s="5"/>
      <c r="H71" s="5">
        <f t="shared" ref="H71:H72" si="5">SUM(C71-D71-E71-F71-G71)</f>
        <v>8638.39</v>
      </c>
      <c r="I71" s="7">
        <f t="shared" si="3"/>
        <v>0</v>
      </c>
    </row>
    <row r="72" spans="1:9" x14ac:dyDescent="0.25">
      <c r="H72" s="2">
        <f t="shared" si="5"/>
        <v>0</v>
      </c>
      <c r="I72" s="7">
        <f t="shared" si="3"/>
        <v>0</v>
      </c>
    </row>
    <row r="73" spans="1:9" s="6" customFormat="1" x14ac:dyDescent="0.25">
      <c r="A73" s="4" t="s">
        <v>9</v>
      </c>
      <c r="B73" s="4"/>
      <c r="C73" s="5">
        <f>+C62+C71</f>
        <v>498365.15</v>
      </c>
      <c r="D73" s="5">
        <f t="shared" ref="D73:G73" si="6">+D62+D71</f>
        <v>182510.75</v>
      </c>
      <c r="E73" s="5">
        <f t="shared" si="6"/>
        <v>84472.15</v>
      </c>
      <c r="F73" s="5">
        <f t="shared" si="6"/>
        <v>-36452</v>
      </c>
      <c r="G73" s="5">
        <f t="shared" si="6"/>
        <v>19566.21</v>
      </c>
      <c r="H73" s="5">
        <f>SUM(C73-D73-E73-F73-G73)</f>
        <v>248268.04</v>
      </c>
      <c r="I73" s="7">
        <f t="shared" si="3"/>
        <v>0</v>
      </c>
    </row>
    <row r="74" spans="1:9" x14ac:dyDescent="0.25">
      <c r="I74" s="7"/>
    </row>
    <row r="75" spans="1:9" x14ac:dyDescent="0.25">
      <c r="I75" s="7"/>
    </row>
    <row r="76" spans="1:9" x14ac:dyDescent="0.25">
      <c r="I76" s="7"/>
    </row>
    <row r="77" spans="1:9" x14ac:dyDescent="0.25">
      <c r="I77" s="7"/>
    </row>
  </sheetData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Resultatrapport_20180313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Karianne Prestesæter</dc:creator>
  <cp:lastModifiedBy>Nina Guttormsen</cp:lastModifiedBy>
  <cp:lastPrinted>2020-03-10T10:12:07Z</cp:lastPrinted>
  <dcterms:created xsi:type="dcterms:W3CDTF">2018-03-13T08:48:58Z</dcterms:created>
  <dcterms:modified xsi:type="dcterms:W3CDTF">2021-03-11T18:16:50Z</dcterms:modified>
</cp:coreProperties>
</file>