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/>
  <mc:AlternateContent xmlns:mc="http://schemas.openxmlformats.org/markup-compatibility/2006">
    <mc:Choice Requires="x15">
      <x15ac:absPath xmlns:x15ac="http://schemas.microsoft.com/office/spreadsheetml/2010/11/ac" url="C:\Users\Bruker\Documents\Kråkstad IL\Årsmøtet 2019\"/>
    </mc:Choice>
  </mc:AlternateContent>
  <xr:revisionPtr revIDLastSave="0" documentId="8_{8A5D3B91-C331-4FBE-B4BE-B8FAF5B1BA24}" xr6:coauthVersionLast="45" xr6:coauthVersionMax="45" xr10:uidLastSave="{00000000-0000-0000-0000-000000000000}"/>
  <bookViews>
    <workbookView xWindow="-110" yWindow="-110" windowWidth="19420" windowHeight="10420" tabRatio="851" xr2:uid="{00000000-000D-0000-FFFF-FFFF00000000}"/>
  </bookViews>
  <sheets>
    <sheet name="Forside" sheetId="6" r:id="rId1"/>
    <sheet name="Resultat" sheetId="8" r:id="rId2"/>
    <sheet name="Balanse" sheetId="9" r:id="rId3"/>
    <sheet name="Noter " sheetId="11" r:id="rId4"/>
    <sheet name="Hovedlag" sheetId="12" r:id="rId5"/>
    <sheet name="Anlegg" sheetId="13" r:id="rId6"/>
    <sheet name="Fotball" sheetId="14" r:id="rId7"/>
  </sheets>
  <externalReferences>
    <externalReference r:id="rId8"/>
  </externalReferences>
  <definedNames>
    <definedName name="_Regression_Int" localSheetId="1" hidden="1">1</definedName>
    <definedName name="_Sort" localSheetId="1" hidden="1">Resultat!#REF!</definedName>
    <definedName name="_Sort" hidden="1">#REF!</definedName>
    <definedName name="AS2DocOpenMode" hidden="1">"AS2DocumentEdit"</definedName>
    <definedName name="AS2HasNoAutoHeaderFooter" hidden="1">" "</definedName>
    <definedName name="ffjor" localSheetId="1">Resultat!$D$6</definedName>
    <definedName name="ffjor">#REF!</definedName>
    <definedName name="fjor" localSheetId="1">Resultat!#REF!</definedName>
    <definedName name="fjor">#REF!</definedName>
    <definedName name="note_1">'Noter '!$6:$95</definedName>
    <definedName name="note_10">[1]Noter!#REF!</definedName>
    <definedName name="note_11">[1]Noter!#REF!</definedName>
    <definedName name="note_12">[1]Noter!#REF!</definedName>
    <definedName name="note_13">[1]Noter!#REF!</definedName>
    <definedName name="note_14">'Noter '!$115:$142</definedName>
    <definedName name="note_15">'Noter '!$143:$150</definedName>
    <definedName name="note_16">[1]Noter!#REF!</definedName>
    <definedName name="note_17">[1]Noter!#REF!</definedName>
    <definedName name="note_18">[1]Noter!#REF!</definedName>
    <definedName name="note_19">'Noter '!$151:$166</definedName>
    <definedName name="note_2">[1]Noter!#REF!</definedName>
    <definedName name="note_20">[1]Noter!#REF!</definedName>
    <definedName name="note_21">[1]Noter!#REF!</definedName>
    <definedName name="note_22">[1]Noter!#REF!</definedName>
    <definedName name="note_23">[1]Noter!#REF!</definedName>
    <definedName name="note_24">[1]Noter!#REF!</definedName>
    <definedName name="note_25">[1]Noter!#REF!</definedName>
    <definedName name="note_3">[1]Noter!#REF!</definedName>
    <definedName name="note_4">'Noter '!$96:$114</definedName>
    <definedName name="note_5">[1]Noter!#REF!</definedName>
    <definedName name="note_6">[1]Noter!#REF!</definedName>
    <definedName name="note_7">[1]Noter!#REF!</definedName>
    <definedName name="note_8">[1]Noter!#REF!</definedName>
    <definedName name="note_9">[1]Noter!#REF!</definedName>
    <definedName name="områdebal">#REF!</definedName>
    <definedName name="områderes" localSheetId="1">Resultat!$A$1:$C$32</definedName>
    <definedName name="områderes">#REF!</definedName>
    <definedName name="text_1">'Noter '!$A$6</definedName>
    <definedName name="text_10">[1]Noter!#REF!</definedName>
    <definedName name="text_11">[1]Noter!#REF!</definedName>
    <definedName name="text_12">[1]Noter!#REF!</definedName>
    <definedName name="text_13">[1]Noter!#REF!</definedName>
    <definedName name="text_14">'Noter '!$B$115</definedName>
    <definedName name="text_15">'Noter '!#REF!</definedName>
    <definedName name="text_16">[1]Noter!#REF!</definedName>
    <definedName name="text_17">[1]Noter!#REF!</definedName>
    <definedName name="text_18">[1]Noter!#REF!</definedName>
    <definedName name="text_19">[1]Noter!#REF!</definedName>
    <definedName name="text_2">[1]Noter!#REF!</definedName>
    <definedName name="text_20">[1]Noter!#REF!</definedName>
    <definedName name="text_21">[1]Noter!#REF!</definedName>
    <definedName name="text_22">[1]Noter!#REF!</definedName>
    <definedName name="text_23">[1]Noter!#REF!</definedName>
    <definedName name="text_24">[1]Noter!#REF!</definedName>
    <definedName name="text_25">[1]Noter!#REF!</definedName>
    <definedName name="text_3">[1]Noter!#REF!</definedName>
    <definedName name="text_4">'Noter '!#REF!</definedName>
    <definedName name="text_5">[1]Noter!#REF!</definedName>
    <definedName name="text_6">[1]Noter!#REF!</definedName>
    <definedName name="text_7">[1]Noter!#REF!</definedName>
    <definedName name="text_8">[1]Noter!#REF!</definedName>
    <definedName name="text_9">[1]Noter!#REF!</definedName>
    <definedName name="_xlnm.Print_Area" localSheetId="2">Balanse!$A$1:$H$58</definedName>
    <definedName name="_xlnm.Print_Area" localSheetId="3">'Noter '!$A$1:$H$152</definedName>
    <definedName name="_xlnm.Print_Area" localSheetId="1">Resultat!$A$1:$D$33</definedName>
    <definedName name="_xlnm.Print_Titles" localSheetId="2">Balanse!$1:$5</definedName>
    <definedName name="_xlnm.Print_Titles" localSheetId="3">'Noter '!$1:$4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år" localSheetId="1">Resultat!#REF!</definedName>
    <definedName name="år">#REF!</definedName>
    <definedName name="åår" localSheetId="1">Resultat!#REF!</definedName>
    <definedName name="åå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4" l="1"/>
  <c r="C9" i="14"/>
  <c r="F139" i="11"/>
  <c r="C9" i="8"/>
  <c r="F58" i="11"/>
  <c r="B40" i="12" l="1"/>
  <c r="E26" i="9"/>
  <c r="C10" i="8"/>
  <c r="B37" i="12" l="1"/>
  <c r="B24" i="13"/>
  <c r="B10" i="13"/>
  <c r="B8" i="13" l="1"/>
  <c r="C10" i="13"/>
  <c r="B18" i="13" l="1"/>
  <c r="C24" i="13" l="1"/>
  <c r="C20" i="13"/>
  <c r="C18" i="13"/>
  <c r="C16" i="13"/>
  <c r="C26" i="13" s="1"/>
  <c r="C8" i="13"/>
  <c r="C13" i="13" s="1"/>
  <c r="C28" i="13" s="1"/>
  <c r="B25" i="14" l="1"/>
  <c r="B23" i="14"/>
  <c r="B22" i="14"/>
  <c r="B21" i="14"/>
  <c r="C28" i="14"/>
  <c r="C25" i="14"/>
  <c r="C23" i="14"/>
  <c r="C18" i="14"/>
  <c r="C29" i="14" s="1"/>
  <c r="C14" i="14"/>
  <c r="C31" i="14" l="1"/>
  <c r="C48" i="12"/>
  <c r="C40" i="12"/>
  <c r="C41" i="12" s="1"/>
  <c r="C22" i="12"/>
  <c r="F102" i="11"/>
  <c r="F107" i="11"/>
  <c r="F105" i="11"/>
  <c r="F103" i="11"/>
  <c r="F100" i="11"/>
  <c r="G110" i="11"/>
  <c r="G108" i="11"/>
  <c r="G105" i="11"/>
  <c r="G102" i="11"/>
  <c r="G100" i="11"/>
  <c r="G94" i="11"/>
  <c r="C18" i="8"/>
  <c r="C16" i="8"/>
  <c r="G79" i="11"/>
  <c r="G70" i="11"/>
  <c r="G63" i="11"/>
  <c r="G74" i="11" s="1"/>
  <c r="G84" i="11" s="1"/>
  <c r="G59" i="11"/>
  <c r="F59" i="11"/>
  <c r="G111" i="11" l="1"/>
  <c r="C43" i="12"/>
  <c r="C50" i="12" s="1"/>
  <c r="G99" i="11"/>
  <c r="G52" i="9" l="1"/>
  <c r="G11" i="9"/>
  <c r="G13" i="9" s="1"/>
  <c r="G19" i="9"/>
  <c r="G24" i="9"/>
  <c r="G37" i="9"/>
  <c r="G38" i="9"/>
  <c r="G40" i="9" s="1"/>
  <c r="G46" i="9"/>
  <c r="C11" i="8"/>
  <c r="G28" i="9" l="1"/>
  <c r="G31" i="9" s="1"/>
  <c r="G54" i="9"/>
  <c r="G57" i="9" s="1"/>
  <c r="D33" i="8"/>
  <c r="D26" i="8"/>
  <c r="D16" i="8"/>
  <c r="D19" i="8" s="1"/>
  <c r="D11" i="8"/>
  <c r="D10" i="8"/>
  <c r="D9" i="8"/>
  <c r="D12" i="8" l="1"/>
  <c r="D21" i="8" s="1"/>
  <c r="D28" i="8" s="1"/>
  <c r="B22" i="12"/>
  <c r="B29" i="14"/>
  <c r="B41" i="12" l="1"/>
  <c r="A1" i="13" l="1"/>
  <c r="B26" i="13"/>
  <c r="B13" i="13"/>
  <c r="B5" i="13"/>
  <c r="B48" i="12"/>
  <c r="A1" i="12"/>
  <c r="B43" i="12" l="1"/>
  <c r="B50" i="12" s="1"/>
  <c r="B28" i="13"/>
  <c r="B14" i="14" l="1"/>
  <c r="B31" i="14" s="1"/>
  <c r="A1" i="14"/>
  <c r="C33" i="8" l="1"/>
  <c r="F94" i="11" l="1"/>
  <c r="E37" i="9" l="1"/>
  <c r="E140" i="11"/>
  <c r="E19" i="9" l="1"/>
  <c r="F118" i="11" l="1"/>
  <c r="F119" i="11"/>
  <c r="F70" i="11" l="1"/>
  <c r="E24" i="9"/>
  <c r="E28" i="9" s="1"/>
  <c r="M59" i="8"/>
  <c r="C19" i="8"/>
  <c r="G139" i="11"/>
  <c r="G136" i="11"/>
  <c r="F140" i="11"/>
  <c r="B11" i="8"/>
  <c r="A1" i="11"/>
  <c r="E46" i="9"/>
  <c r="B1" i="9"/>
  <c r="E52" i="9"/>
  <c r="E11" i="9"/>
  <c r="E13" i="9" s="1"/>
  <c r="A1" i="8"/>
  <c r="C6" i="8"/>
  <c r="E31" i="9" l="1"/>
  <c r="E54" i="9"/>
  <c r="G33" i="9"/>
  <c r="F63" i="11"/>
  <c r="G140" i="11"/>
  <c r="F111" i="11"/>
  <c r="F79" i="11"/>
  <c r="F120" i="11"/>
  <c r="F123" i="11" s="1"/>
  <c r="E6" i="9"/>
  <c r="E33" i="9" s="1"/>
  <c r="C12" i="8"/>
  <c r="C21" i="8" s="1"/>
  <c r="C26" i="8"/>
  <c r="E38" i="9" l="1"/>
  <c r="F49" i="11"/>
  <c r="C28" i="8"/>
  <c r="E40" i="9" l="1"/>
  <c r="E57" i="9" s="1"/>
  <c r="F99" i="11"/>
  <c r="F115" i="11" s="1"/>
  <c r="F74" i="11"/>
  <c r="F84" i="11" s="1"/>
</calcChain>
</file>

<file path=xl/sharedStrings.xml><?xml version="1.0" encoding="utf-8"?>
<sst xmlns="http://schemas.openxmlformats.org/spreadsheetml/2006/main" count="278" uniqueCount="218">
  <si>
    <t>EIENDELER</t>
  </si>
  <si>
    <t>Omløpsmidler</t>
  </si>
  <si>
    <t>Andre kortsiktige fordringer</t>
  </si>
  <si>
    <t>Sum omløpsmidler</t>
  </si>
  <si>
    <t>Kortsiktig gjeld</t>
  </si>
  <si>
    <t>Annen kortsiktig gjeld</t>
  </si>
  <si>
    <t>Sum kortsiktig gjeld</t>
  </si>
  <si>
    <t>Sum gjeld</t>
  </si>
  <si>
    <t>Egenkapital</t>
  </si>
  <si>
    <t>Andre inntekter</t>
  </si>
  <si>
    <t>Sum driftsinntekter</t>
  </si>
  <si>
    <t>Sum</t>
  </si>
  <si>
    <t>SUM EIENDELER</t>
  </si>
  <si>
    <t>Varelager</t>
  </si>
  <si>
    <t>Sum disponering</t>
  </si>
  <si>
    <t>Andre driftskostnader</t>
  </si>
  <si>
    <t>Regnskapsprinsipper</t>
  </si>
  <si>
    <t>Periodiseringsregler</t>
  </si>
  <si>
    <t>Årsregnskap</t>
  </si>
  <si>
    <t>Regnskapsposten består av:</t>
  </si>
  <si>
    <t>Sponsor- og salgsinntekter</t>
  </si>
  <si>
    <t>Årets endring i egenkapital:</t>
  </si>
  <si>
    <t>Fordringer</t>
  </si>
  <si>
    <t>Kundefordringer og andre fordringer er oppført i balansen til pålydende etter fradrag for avsetning til</t>
  </si>
  <si>
    <t xml:space="preserve">forventet tap. Avsetning til tap gjøres på grunnlag av individuelle vurderinger av de enkelte fordringene. </t>
  </si>
  <si>
    <t xml:space="preserve">Barteravtaler inntektsføres på grunnlag av de mottatte verdier i den perioden verdien mottas. Motsvarende </t>
  </si>
  <si>
    <t>kostnader blir kostnadsført i samme periode.</t>
  </si>
  <si>
    <t>Sponsorinntekter inntektsføres over avtaleperioden.</t>
  </si>
  <si>
    <t>NOTE</t>
  </si>
  <si>
    <t>DRIFTSINNTEKTER OG DRIFTSKOSTNADER</t>
  </si>
  <si>
    <t>Offentlige tilskudd</t>
  </si>
  <si>
    <t>Sum driftskostnader</t>
  </si>
  <si>
    <t>Driftsresultat</t>
  </si>
  <si>
    <t>Finansinntekter</t>
  </si>
  <si>
    <t>Finanskostnader</t>
  </si>
  <si>
    <t>ÅRSRESULTAT</t>
  </si>
  <si>
    <t>Finansposter</t>
  </si>
  <si>
    <t>Disponering av årets resultat</t>
  </si>
  <si>
    <t>Varekostnad</t>
  </si>
  <si>
    <t>Anleggsmidler</t>
  </si>
  <si>
    <t>Inventar og utstyr</t>
  </si>
  <si>
    <t>Kundefordringer</t>
  </si>
  <si>
    <t>Sum fordringer</t>
  </si>
  <si>
    <t>Bankinnskudd, kontanter o.l.</t>
  </si>
  <si>
    <t xml:space="preserve"> </t>
  </si>
  <si>
    <t>EGENKAPITAL OG GJELD</t>
  </si>
  <si>
    <t>Sum egenkapital</t>
  </si>
  <si>
    <t>Leverandørgjeld</t>
  </si>
  <si>
    <t>Skatt og offentlige avgifter</t>
  </si>
  <si>
    <t>SUM EGENKAPITAL OG GJELD</t>
  </si>
  <si>
    <t>Sum anleggsmider</t>
  </si>
  <si>
    <t>Varige driftsmidler</t>
  </si>
  <si>
    <t>Sum varige driftsmidler</t>
  </si>
  <si>
    <t>Note 1</t>
  </si>
  <si>
    <t>Note 2</t>
  </si>
  <si>
    <t>Note 3</t>
  </si>
  <si>
    <t>Note 4</t>
  </si>
  <si>
    <t>Note 5</t>
  </si>
  <si>
    <t>Avgang</t>
  </si>
  <si>
    <t>Tap avgang driftsmiddel</t>
  </si>
  <si>
    <t>Note 6</t>
  </si>
  <si>
    <t>Note 8</t>
  </si>
  <si>
    <t>Annen langsiktig gjeld</t>
  </si>
  <si>
    <t>Lån</t>
  </si>
  <si>
    <t>Avsetninger fond</t>
  </si>
  <si>
    <t>Sum langsiktig gjeld</t>
  </si>
  <si>
    <t>Utgifter kostnadsføres i samme periode som tilhørende inntekt</t>
  </si>
  <si>
    <t>Driftsinntekter og offentlige tilskudd inntektsføres når de er opptjent.</t>
  </si>
  <si>
    <t>Hovedregel for vurdering og klassifisering av eiendeler og gjeld</t>
  </si>
  <si>
    <t>Eiendeler og gjeld i utenlandsk valuta</t>
  </si>
  <si>
    <t>Pengeposter i utenlandsk valuta er i balansen omregnet til balansedagens kurs.</t>
  </si>
  <si>
    <t>Inntektsføringsprinsipper</t>
  </si>
  <si>
    <t>Note 9</t>
  </si>
  <si>
    <t>Årets resultat til annen egenkapital</t>
  </si>
  <si>
    <t>egenkapital</t>
  </si>
  <si>
    <t>Annen langsiktig gjeld og kortsiktig gjeld er vurdert til pålydende beløp.</t>
  </si>
  <si>
    <t>Sum finansposter</t>
  </si>
  <si>
    <t>Noter til regnskapet</t>
  </si>
  <si>
    <t>Balanse</t>
  </si>
  <si>
    <t>Resultatregnskap</t>
  </si>
  <si>
    <t>Egenkapital pr 01.01</t>
  </si>
  <si>
    <t>Anskaffelseskost 01.01</t>
  </si>
  <si>
    <t>Anskaffelseskost 31.12</t>
  </si>
  <si>
    <t>Akk. Avskrivninger pr 31.12</t>
  </si>
  <si>
    <t>Bokført verdi pr 31.12</t>
  </si>
  <si>
    <t>Egenkapital pr. 31.12</t>
  </si>
  <si>
    <t xml:space="preserve">Anleggsmidler er vurdert til anksaffelseskost, men ikke til høyere verdi enn gjelden knyttet til anleggsmidlet. </t>
  </si>
  <si>
    <t>Omløpsmidler er vurdert til laveste av anskaffelseskost og fremtidig salgsverdi fratrykket salgskostnader.</t>
  </si>
  <si>
    <t>Regnskapet er ført etter regnskapsprinsippet. Dette innebærer at inntekter er registrert i den periode de er</t>
  </si>
  <si>
    <t>inntjent og utgifter er registrert i den periode de er påløpt.</t>
  </si>
  <si>
    <t>Dersom virkelig verdi av anleggsmidler er lavere enn balanseført verdi og verdifallet forventes ikke å være</t>
  </si>
  <si>
    <t>forbigående, er det foretatt nedskrivning til virkelig verdi.</t>
  </si>
  <si>
    <t>inntektsavsetninger.</t>
  </si>
  <si>
    <t xml:space="preserve">For prosjekter som har øremerkede midler der aktiviteten ikke er fullført ved periodens utløp, foretas det </t>
  </si>
  <si>
    <t>organisasjonsledd tilknyttet NIF.</t>
  </si>
  <si>
    <t xml:space="preserve">Årsregnskapet er satt opp i samsvar med Regnskaps- og revisjonsbestemmelsene for små </t>
  </si>
  <si>
    <t xml:space="preserve">Eiendeler bestemt til varig eie eller bruk, er klassifisert som anleggsmidler. Andre eiendeler er klassifisert </t>
  </si>
  <si>
    <t>Ved klassfisering av kortsiktig og langsiktig gjeld er tilvsvarende kriterier lagt til grunn.</t>
  </si>
  <si>
    <t xml:space="preserve">som omløpsmidler. Fordringer som skal tilbakebetales innen et år er klassifisert som omløpsmidler. </t>
  </si>
  <si>
    <t>minst med et årlig beløp som tilsvarer nedbetalingen av langsiktig gjeld tilknyttet anlegget.</t>
  </si>
  <si>
    <t>Anleggsmidler med begrenset økonomisk levetid avskrives lineært over den økonomiske levetiden men</t>
  </si>
  <si>
    <t>som er kortere enn tre måneder fra anskaffelse.</t>
  </si>
  <si>
    <t>Bankinnskudd, kontanter o.l. inkluderer kontanter, bankinnskudd og andre betalingsmidler med forfallsdato</t>
  </si>
  <si>
    <t>Salgs- og sponsorinntekter</t>
  </si>
  <si>
    <t>Note 7</t>
  </si>
  <si>
    <t>Driftsinntekter</t>
  </si>
  <si>
    <t>Driftskostnader</t>
  </si>
  <si>
    <t>Momskompensasjon</t>
  </si>
  <si>
    <t>Andre kostnader</t>
  </si>
  <si>
    <t>Balanseposten består av:</t>
  </si>
  <si>
    <t>Lønns- og personalkostnader</t>
  </si>
  <si>
    <t>Varer</t>
  </si>
  <si>
    <t>Sum varelager</t>
  </si>
  <si>
    <t>Annen egenkapital</t>
  </si>
  <si>
    <t>Sum annen egenkapital</t>
  </si>
  <si>
    <r>
      <t>Lønns- og personalkostnader</t>
    </r>
    <r>
      <rPr>
        <b/>
        <sz val="11"/>
        <color rgb="FFFF0000"/>
        <rFont val="Calibri"/>
        <family val="2"/>
        <scheme val="minor"/>
      </rPr>
      <t xml:space="preserve"> </t>
    </r>
  </si>
  <si>
    <t>Denne posten vedrører lønn, arbeidsgiveravgift og andre personalkostnader samlet for administrasjon,</t>
  </si>
  <si>
    <t>trenere, støtteapparat og andre.</t>
  </si>
  <si>
    <t>Kråkstad Idrettslag</t>
  </si>
  <si>
    <t>Årets resultat</t>
  </si>
  <si>
    <t>Leieinntekter klubbhuset</t>
  </si>
  <si>
    <t>Inntekter arrangementer</t>
  </si>
  <si>
    <t>Vakthold hallen</t>
  </si>
  <si>
    <t>Gresvig</t>
  </si>
  <si>
    <t>Tilskudd fra Ski kommune for tjenester</t>
  </si>
  <si>
    <t>Tilskudd fra Ski kommune - annet</t>
  </si>
  <si>
    <t>Norsk Tipping</t>
  </si>
  <si>
    <t>Uffbutikkene i Norge</t>
  </si>
  <si>
    <t>Lotteri/bingo</t>
  </si>
  <si>
    <t>Norges Idrettsforbund - LAM midler</t>
  </si>
  <si>
    <t>Medlemskontingenter hovedlag</t>
  </si>
  <si>
    <t>Medlemskontingenter fotball</t>
  </si>
  <si>
    <t>Medlemskontingenter svømming</t>
  </si>
  <si>
    <t>Lønn vasking, vaktmester, dugnad m.m.</t>
  </si>
  <si>
    <t>Andre trenerhonorar</t>
  </si>
  <si>
    <t>Dommerhonorar</t>
  </si>
  <si>
    <t>Sosiale kostnader, sommeravslutning</t>
  </si>
  <si>
    <t>Gaver</t>
  </si>
  <si>
    <t>Honorar styrets leder</t>
  </si>
  <si>
    <t>Honorar kasserer</t>
  </si>
  <si>
    <t>Honorar økonomisk bistand</t>
  </si>
  <si>
    <t>Kostnader klubbhus</t>
  </si>
  <si>
    <t>Strøm</t>
  </si>
  <si>
    <t>Treningsutstyr</t>
  </si>
  <si>
    <t>Gave kreftforeningen - jubileumsmaraton</t>
  </si>
  <si>
    <t>Innkjøp egne arrangementer og kiosk</t>
  </si>
  <si>
    <t>Kurs</t>
  </si>
  <si>
    <t>Cup, serier, turneringer</t>
  </si>
  <si>
    <t>Forsikringer</t>
  </si>
  <si>
    <t>Kontingenter</t>
  </si>
  <si>
    <t>Tilgang idrettsanlegg</t>
  </si>
  <si>
    <t xml:space="preserve">Egenkapital </t>
  </si>
  <si>
    <t>fotball</t>
  </si>
  <si>
    <t>laget</t>
  </si>
  <si>
    <t>Kråkstad 2.3.2019</t>
  </si>
  <si>
    <t>Sponsorinntekter skilter i hallen</t>
  </si>
  <si>
    <t>Gjensidigestiftelsen - svømming</t>
  </si>
  <si>
    <t xml:space="preserve">   Fotballgruppa</t>
  </si>
  <si>
    <t>Inntekter egne arrangementer</t>
  </si>
  <si>
    <t>Medlemskontingent</t>
  </si>
  <si>
    <t>LAM-midler</t>
  </si>
  <si>
    <t>Trenerhonorar</t>
  </si>
  <si>
    <t>Sessongavslutninger</t>
  </si>
  <si>
    <t>Treningstøy og utstyr</t>
  </si>
  <si>
    <t>Påmelding cuper m.m.</t>
  </si>
  <si>
    <t>Forsikring</t>
  </si>
  <si>
    <t xml:space="preserve">   Hovedlag</t>
  </si>
  <si>
    <t>Anlegg</t>
  </si>
  <si>
    <t>Offentlig tilskudd tjenester</t>
  </si>
  <si>
    <t>Lønn</t>
  </si>
  <si>
    <t>Renovasjon, renhold m.m.</t>
  </si>
  <si>
    <t>Driftsmateriale</t>
  </si>
  <si>
    <t>Reparasjon og vedlikehold bygninger</t>
  </si>
  <si>
    <t>Reparasjon og vedlikehold utsytr</t>
  </si>
  <si>
    <t>Reparasjon og vedlikehold annet</t>
  </si>
  <si>
    <t>Ski Kommune  annet</t>
  </si>
  <si>
    <t>Uffbutikene</t>
  </si>
  <si>
    <t>Styrets leder</t>
  </si>
  <si>
    <t>Kasserer</t>
  </si>
  <si>
    <t>Regnskap</t>
  </si>
  <si>
    <t>Sosiale kostnader</t>
  </si>
  <si>
    <t>Diverse</t>
  </si>
  <si>
    <t>Overskudd jubileumsmaraton</t>
  </si>
  <si>
    <t>Overskudd svømming</t>
  </si>
  <si>
    <t>Overskudd allidrett</t>
  </si>
  <si>
    <t>Medlemskontingent laget</t>
  </si>
  <si>
    <t>Tap på fordringer - ikke fulgt opp tidligere år</t>
  </si>
  <si>
    <t>Bankomkostninger og gebyrer medlemskontingent</t>
  </si>
  <si>
    <t>Mva-kompensasjon</t>
  </si>
  <si>
    <t>Underskudd Tennis</t>
  </si>
  <si>
    <t>Underskudd Skigruppa</t>
  </si>
  <si>
    <t>Underskudd Vollyball</t>
  </si>
  <si>
    <t>Underskudd Styrketrening</t>
  </si>
  <si>
    <t>Underskudd Innebandy</t>
  </si>
  <si>
    <t>Underskudd Friidrett</t>
  </si>
  <si>
    <t>Nedskrivning varelager (ikke telt på mange år)</t>
  </si>
  <si>
    <t>Ander tilskudd</t>
  </si>
  <si>
    <t>Inntekter reklameskilt</t>
  </si>
  <si>
    <t>Sponsorinntekter Attentus</t>
  </si>
  <si>
    <t>Gaver Hjellsåstårnet</t>
  </si>
  <si>
    <t>Sparebankstiftelsen Hjellsåstårnet</t>
  </si>
  <si>
    <t>Trenerhonorar fotball</t>
  </si>
  <si>
    <t>Varelageret er ikke telt pr. 31.12.2019, men antatt verdi er kr. 5.000.</t>
  </si>
  <si>
    <t xml:space="preserve">Dommerhonorar </t>
  </si>
  <si>
    <t xml:space="preserve">Sponsorinntekter </t>
  </si>
  <si>
    <t>Leie lokaler/bane</t>
  </si>
  <si>
    <t>Sponsorinntekter</t>
  </si>
  <si>
    <t>Overskuddd Hjellsåstårnet</t>
  </si>
  <si>
    <t>Underskudd Sportsmix</t>
  </si>
  <si>
    <t>Overskudd tennis</t>
  </si>
  <si>
    <t>Diverse driftskostnader og driftsmateriell</t>
  </si>
  <si>
    <t>Overskudd styrketrening</t>
  </si>
  <si>
    <t>Overskudd friidrett</t>
  </si>
  <si>
    <t>Avskrivninger</t>
  </si>
  <si>
    <t>Fra egenkapital</t>
  </si>
  <si>
    <t>Varige driftsmidler gjelder kunstgressbanen. Styret har valgt å avskrive denne til kr. 1 i regnskapet</t>
  </si>
  <si>
    <t>for 2019. Banen er ikke omsettelig på noen måte, men verdien er langt høyere enn kostpris på</t>
  </si>
  <si>
    <t>kr. 865.872.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</si>
</sst>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0.0"/>
    <numFmt numFmtId="167" formatCode="#,##0_);[Red]\(#,##0\);\-___)"/>
  </numFmts>
  <fonts count="31" x14ac:knownFonts="1">
    <font>
      <sz val="11"/>
      <name val="Times New Roman"/>
    </font>
    <font>
      <sz val="1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48"/>
      <name val="Times New Roman"/>
      <family val="1"/>
    </font>
    <font>
      <b/>
      <sz val="24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37" fontId="8" fillId="0" borderId="0">
      <alignment horizontal="centerContinuous"/>
    </xf>
    <xf numFmtId="37" fontId="10" fillId="0" borderId="0">
      <alignment horizontal="centerContinuous"/>
    </xf>
    <xf numFmtId="0" fontId="12" fillId="0" borderId="0"/>
    <xf numFmtId="0" fontId="12" fillId="0" borderId="0"/>
    <xf numFmtId="14" fontId="13" fillId="0" borderId="0"/>
    <xf numFmtId="1" fontId="13" fillId="0" borderId="0"/>
    <xf numFmtId="40" fontId="13" fillId="0" borderId="0"/>
    <xf numFmtId="0" fontId="7" fillId="0" borderId="0"/>
    <xf numFmtId="37" fontId="11" fillId="0" borderId="0">
      <alignment horizontal="centerContinuous"/>
    </xf>
    <xf numFmtId="37" fontId="9" fillId="0" borderId="0">
      <alignment horizontal="centerContinuous"/>
    </xf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</cellStyleXfs>
  <cellXfs count="235">
    <xf numFmtId="0" fontId="0" fillId="0" borderId="0" xfId="0"/>
    <xf numFmtId="0" fontId="0" fillId="0" borderId="0" xfId="0" applyNumberFormat="1"/>
    <xf numFmtId="0" fontId="0" fillId="0" borderId="0" xfId="0" applyNumberFormat="1" applyBorder="1"/>
    <xf numFmtId="0" fontId="14" fillId="0" borderId="0" xfId="0" applyNumberFormat="1" applyFont="1"/>
    <xf numFmtId="0" fontId="17" fillId="0" borderId="0" xfId="2" applyFont="1" applyAlignment="1">
      <alignment horizontal="centerContinuous"/>
    </xf>
    <xf numFmtId="0" fontId="17" fillId="0" borderId="0" xfId="2" applyFont="1"/>
    <xf numFmtId="3" fontId="17" fillId="0" borderId="0" xfId="2" applyNumberFormat="1" applyFont="1"/>
    <xf numFmtId="0" fontId="17" fillId="0" borderId="0" xfId="2" applyFont="1" applyAlignment="1">
      <alignment horizontal="center"/>
    </xf>
    <xf numFmtId="3" fontId="17" fillId="0" borderId="0" xfId="2" applyNumberFormat="1" applyFont="1" applyAlignment="1">
      <alignment horizontal="centerContinuous"/>
    </xf>
    <xf numFmtId="0" fontId="20" fillId="0" borderId="0" xfId="5" applyFont="1"/>
    <xf numFmtId="0" fontId="20" fillId="0" borderId="0" xfId="5" applyFont="1" applyAlignment="1">
      <alignment horizontal="center"/>
    </xf>
    <xf numFmtId="0" fontId="20" fillId="0" borderId="0" xfId="2" applyFont="1"/>
    <xf numFmtId="0" fontId="20" fillId="0" borderId="3" xfId="6" applyFont="1" applyBorder="1"/>
    <xf numFmtId="0" fontId="20" fillId="0" borderId="0" xfId="6" applyFont="1" applyAlignment="1">
      <alignment horizontal="center"/>
    </xf>
    <xf numFmtId="3" fontId="20" fillId="0" borderId="3" xfId="2" applyNumberFormat="1" applyFont="1" applyBorder="1"/>
    <xf numFmtId="0" fontId="17" fillId="0" borderId="0" xfId="2" applyFont="1" applyAlignment="1">
      <alignment wrapText="1"/>
    </xf>
    <xf numFmtId="0" fontId="17" fillId="0" borderId="0" xfId="2" applyFont="1" applyAlignment="1">
      <alignment horizontal="center" wrapText="1"/>
    </xf>
    <xf numFmtId="0" fontId="20" fillId="0" borderId="0" xfId="6" applyFont="1"/>
    <xf numFmtId="0" fontId="17" fillId="0" borderId="0" xfId="5" applyFont="1"/>
    <xf numFmtId="0" fontId="17" fillId="0" borderId="0" xfId="5" applyFont="1" applyAlignment="1">
      <alignment horizontal="center"/>
    </xf>
    <xf numFmtId="0" fontId="20" fillId="0" borderId="0" xfId="2" applyFont="1" applyAlignment="1">
      <alignment horizontal="center"/>
    </xf>
    <xf numFmtId="0" fontId="20" fillId="0" borderId="0" xfId="2" applyFont="1" applyBorder="1"/>
    <xf numFmtId="0" fontId="20" fillId="0" borderId="0" xfId="2" applyFont="1" applyBorder="1" applyAlignment="1">
      <alignment horizontal="center"/>
    </xf>
    <xf numFmtId="3" fontId="17" fillId="0" borderId="0" xfId="2" applyNumberFormat="1" applyFont="1" applyBorder="1"/>
    <xf numFmtId="0" fontId="17" fillId="0" borderId="0" xfId="2" applyFont="1" applyBorder="1"/>
    <xf numFmtId="0" fontId="17" fillId="0" borderId="0" xfId="2" applyFont="1" applyBorder="1" applyAlignment="1">
      <alignment horizontal="center"/>
    </xf>
    <xf numFmtId="3" fontId="20" fillId="0" borderId="2" xfId="2" applyNumberFormat="1" applyFont="1" applyBorder="1"/>
    <xf numFmtId="0" fontId="20" fillId="0" borderId="3" xfId="6" applyFont="1" applyBorder="1" applyAlignment="1">
      <alignment horizontal="center"/>
    </xf>
    <xf numFmtId="3" fontId="17" fillId="0" borderId="3" xfId="2" applyNumberFormat="1" applyFont="1" applyBorder="1"/>
    <xf numFmtId="0" fontId="20" fillId="0" borderId="4" xfId="6" applyFont="1" applyBorder="1"/>
    <xf numFmtId="0" fontId="20" fillId="0" borderId="4" xfId="6" applyFont="1" applyBorder="1" applyAlignment="1">
      <alignment horizontal="center"/>
    </xf>
    <xf numFmtId="3" fontId="20" fillId="0" borderId="4" xfId="2" applyNumberFormat="1" applyFont="1" applyBorder="1"/>
    <xf numFmtId="0" fontId="20" fillId="0" borderId="2" xfId="2" applyFont="1" applyBorder="1"/>
    <xf numFmtId="0" fontId="20" fillId="0" borderId="2" xfId="2" applyFont="1" applyBorder="1" applyAlignment="1">
      <alignment horizontal="center"/>
    </xf>
    <xf numFmtId="0" fontId="20" fillId="0" borderId="2" xfId="6" applyFont="1" applyBorder="1"/>
    <xf numFmtId="0" fontId="20" fillId="0" borderId="2" xfId="6" applyFont="1" applyBorder="1" applyAlignment="1">
      <alignment horizontal="center"/>
    </xf>
    <xf numFmtId="0" fontId="17" fillId="0" borderId="0" xfId="2" applyFont="1" applyFill="1"/>
    <xf numFmtId="37" fontId="16" fillId="0" borderId="0" xfId="11" applyFont="1" applyAlignment="1">
      <alignment horizontal="left"/>
    </xf>
    <xf numFmtId="37" fontId="16" fillId="0" borderId="0" xfId="11" applyFont="1">
      <alignment horizontal="centerContinuous"/>
    </xf>
    <xf numFmtId="0" fontId="22" fillId="0" borderId="0" xfId="2" applyFont="1"/>
    <xf numFmtId="0" fontId="17" fillId="0" borderId="0" xfId="0" applyFont="1" applyFill="1"/>
    <xf numFmtId="0" fontId="20" fillId="0" borderId="0" xfId="0" applyFont="1" applyFill="1"/>
    <xf numFmtId="0" fontId="20" fillId="0" borderId="0" xfId="0" applyFont="1"/>
    <xf numFmtId="0" fontId="17" fillId="0" borderId="0" xfId="0" applyFont="1"/>
    <xf numFmtId="0" fontId="17" fillId="0" borderId="0" xfId="0" applyFont="1" applyAlignment="1"/>
    <xf numFmtId="0" fontId="22" fillId="0" borderId="0" xfId="2" applyFont="1" applyBorder="1"/>
    <xf numFmtId="0" fontId="17" fillId="0" borderId="1" xfId="2" applyFont="1" applyBorder="1"/>
    <xf numFmtId="3" fontId="17" fillId="0" borderId="0" xfId="2" applyNumberFormat="1" applyFont="1" applyFill="1"/>
    <xf numFmtId="0" fontId="20" fillId="0" borderId="3" xfId="2" applyFont="1" applyBorder="1"/>
    <xf numFmtId="0" fontId="17" fillId="0" borderId="3" xfId="2" applyFont="1" applyBorder="1"/>
    <xf numFmtId="3" fontId="20" fillId="0" borderId="0" xfId="2" applyNumberFormat="1" applyFont="1" applyBorder="1"/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3" fontId="17" fillId="0" borderId="0" xfId="0" applyNumberFormat="1" applyFont="1" applyFill="1"/>
    <xf numFmtId="0" fontId="20" fillId="0" borderId="3" xfId="0" applyFont="1" applyBorder="1"/>
    <xf numFmtId="0" fontId="20" fillId="0" borderId="3" xfId="0" applyFont="1" applyBorder="1" applyAlignment="1">
      <alignment horizontal="center"/>
    </xf>
    <xf numFmtId="3" fontId="20" fillId="0" borderId="3" xfId="0" applyNumberFormat="1" applyFont="1" applyBorder="1"/>
    <xf numFmtId="0" fontId="17" fillId="0" borderId="0" xfId="2" applyFont="1" applyFill="1" applyBorder="1"/>
    <xf numFmtId="38" fontId="17" fillId="0" borderId="0" xfId="2" applyNumberFormat="1" applyFont="1" applyBorder="1"/>
    <xf numFmtId="38" fontId="20" fillId="0" borderId="0" xfId="2" applyNumberFormat="1" applyFont="1" applyBorder="1" applyAlignment="1">
      <alignment horizontal="right"/>
    </xf>
    <xf numFmtId="38" fontId="22" fillId="0" borderId="0" xfId="2" applyNumberFormat="1" applyFont="1" applyBorder="1" applyAlignment="1"/>
    <xf numFmtId="3" fontId="20" fillId="0" borderId="1" xfId="13" applyNumberFormat="1" applyFont="1" applyBorder="1"/>
    <xf numFmtId="3" fontId="20" fillId="0" borderId="1" xfId="13" applyNumberFormat="1" applyFont="1" applyBorder="1" applyAlignment="1">
      <alignment horizontal="center"/>
    </xf>
    <xf numFmtId="3" fontId="20" fillId="0" borderId="1" xfId="13" applyNumberFormat="1" applyFont="1" applyBorder="1" applyAlignment="1">
      <alignment horizontal="center" wrapText="1"/>
    </xf>
    <xf numFmtId="0" fontId="20" fillId="0" borderId="1" xfId="2" applyFont="1" applyBorder="1" applyAlignment="1">
      <alignment horizontal="right"/>
    </xf>
    <xf numFmtId="3" fontId="17" fillId="0" borderId="0" xfId="13" applyNumberFormat="1" applyFont="1" applyBorder="1"/>
    <xf numFmtId="38" fontId="17" fillId="0" borderId="0" xfId="13" applyNumberFormat="1" applyFont="1" applyBorder="1"/>
    <xf numFmtId="38" fontId="17" fillId="0" borderId="1" xfId="13" applyNumberFormat="1" applyFont="1" applyBorder="1"/>
    <xf numFmtId="3" fontId="17" fillId="0" borderId="1" xfId="13" applyNumberFormat="1" applyFont="1" applyBorder="1"/>
    <xf numFmtId="3" fontId="17" fillId="0" borderId="1" xfId="2" applyNumberFormat="1" applyFont="1" applyBorder="1"/>
    <xf numFmtId="38" fontId="20" fillId="0" borderId="0" xfId="13" applyNumberFormat="1" applyFont="1" applyBorder="1"/>
    <xf numFmtId="3" fontId="20" fillId="0" borderId="0" xfId="13" applyNumberFormat="1" applyFont="1" applyBorder="1"/>
    <xf numFmtId="3" fontId="20" fillId="0" borderId="0" xfId="13" applyNumberFormat="1" applyFont="1" applyBorder="1" applyAlignment="1">
      <alignment horizontal="right"/>
    </xf>
    <xf numFmtId="3" fontId="17" fillId="0" borderId="1" xfId="13" applyNumberFormat="1" applyFont="1" applyBorder="1" applyAlignment="1">
      <alignment horizontal="right"/>
    </xf>
    <xf numFmtId="3" fontId="17" fillId="0" borderId="0" xfId="13" applyNumberFormat="1" applyFont="1" applyBorder="1" applyAlignment="1">
      <alignment horizontal="right"/>
    </xf>
    <xf numFmtId="38" fontId="22" fillId="0" borderId="0" xfId="2" applyNumberFormat="1" applyFont="1" applyBorder="1"/>
    <xf numFmtId="0" fontId="17" fillId="0" borderId="3" xfId="0" applyFont="1" applyBorder="1"/>
    <xf numFmtId="165" fontId="17" fillId="0" borderId="0" xfId="1" applyNumberFormat="1" applyFont="1"/>
    <xf numFmtId="164" fontId="17" fillId="0" borderId="0" xfId="0" applyNumberFormat="1" applyFont="1"/>
    <xf numFmtId="0" fontId="17" fillId="0" borderId="0" xfId="0" applyFont="1" applyBorder="1"/>
    <xf numFmtId="38" fontId="20" fillId="0" borderId="0" xfId="2" applyNumberFormat="1" applyFont="1" applyBorder="1"/>
    <xf numFmtId="0" fontId="20" fillId="0" borderId="1" xfId="0" applyFont="1" applyBorder="1" applyAlignment="1">
      <alignment horizontal="center" wrapText="1"/>
    </xf>
    <xf numFmtId="0" fontId="17" fillId="0" borderId="0" xfId="0" applyFont="1" applyBorder="1" applyAlignment="1">
      <alignment horizontal="center"/>
    </xf>
    <xf numFmtId="3" fontId="17" fillId="0" borderId="0" xfId="0" applyNumberFormat="1" applyFont="1" applyBorder="1" applyAlignment="1">
      <alignment horizontal="center"/>
    </xf>
    <xf numFmtId="38" fontId="20" fillId="0" borderId="0" xfId="15" applyNumberFormat="1" applyFont="1" applyBorder="1"/>
    <xf numFmtId="3" fontId="17" fillId="0" borderId="0" xfId="15" applyNumberFormat="1" applyFont="1" applyBorder="1"/>
    <xf numFmtId="3" fontId="17" fillId="0" borderId="0" xfId="15" applyNumberFormat="1" applyFont="1" applyBorder="1" applyAlignment="1">
      <alignment horizontal="right"/>
    </xf>
    <xf numFmtId="38" fontId="17" fillId="0" borderId="0" xfId="15" applyNumberFormat="1" applyFont="1" applyBorder="1"/>
    <xf numFmtId="3" fontId="20" fillId="0" borderId="3" xfId="15" applyNumberFormat="1" applyFont="1" applyBorder="1"/>
    <xf numFmtId="3" fontId="20" fillId="0" borderId="0" xfId="15" applyNumberFormat="1" applyFont="1" applyBorder="1"/>
    <xf numFmtId="38" fontId="20" fillId="0" borderId="0" xfId="15" applyNumberFormat="1" applyFont="1" applyBorder="1" applyAlignment="1">
      <alignment horizontal="right"/>
    </xf>
    <xf numFmtId="38" fontId="20" fillId="0" borderId="0" xfId="15" applyNumberFormat="1" applyFont="1" applyBorder="1" applyAlignment="1">
      <alignment horizontal="center"/>
    </xf>
    <xf numFmtId="38" fontId="23" fillId="0" borderId="0" xfId="15" applyNumberFormat="1" applyFont="1" applyBorder="1"/>
    <xf numFmtId="3" fontId="24" fillId="0" borderId="0" xfId="15" applyNumberFormat="1" applyFont="1" applyBorder="1"/>
    <xf numFmtId="3" fontId="27" fillId="0" borderId="0" xfId="16" applyNumberFormat="1" applyFont="1" applyBorder="1"/>
    <xf numFmtId="38" fontId="20" fillId="0" borderId="0" xfId="16" applyNumberFormat="1" applyFont="1" applyBorder="1"/>
    <xf numFmtId="38" fontId="17" fillId="0" borderId="0" xfId="16" applyNumberFormat="1" applyFont="1" applyBorder="1"/>
    <xf numFmtId="0" fontId="20" fillId="0" borderId="0" xfId="2" quotePrefix="1" applyFont="1" applyBorder="1" applyAlignment="1">
      <alignment horizontal="right"/>
    </xf>
    <xf numFmtId="3" fontId="22" fillId="0" borderId="0" xfId="16" applyNumberFormat="1" applyFont="1" applyBorder="1" applyAlignment="1">
      <alignment horizontal="left"/>
    </xf>
    <xf numFmtId="3" fontId="25" fillId="0" borderId="0" xfId="16" applyNumberFormat="1" applyFont="1" applyBorder="1"/>
    <xf numFmtId="3" fontId="26" fillId="0" borderId="0" xfId="16" applyNumberFormat="1" applyFont="1" applyBorder="1"/>
    <xf numFmtId="3" fontId="17" fillId="0" borderId="0" xfId="17" applyNumberFormat="1" applyFont="1" applyBorder="1"/>
    <xf numFmtId="166" fontId="20" fillId="0" borderId="0" xfId="16" applyNumberFormat="1" applyFont="1" applyBorder="1"/>
    <xf numFmtId="167" fontId="20" fillId="0" borderId="0" xfId="2" applyNumberFormat="1" applyFont="1" applyBorder="1" applyAlignment="1">
      <alignment horizontal="right"/>
    </xf>
    <xf numFmtId="166" fontId="17" fillId="0" borderId="0" xfId="16" applyNumberFormat="1" applyFont="1" applyBorder="1"/>
    <xf numFmtId="3" fontId="20" fillId="0" borderId="0" xfId="18" applyNumberFormat="1" applyFont="1" applyBorder="1"/>
    <xf numFmtId="3" fontId="20" fillId="0" borderId="0" xfId="18" applyNumberFormat="1" applyFont="1" applyBorder="1" applyAlignment="1">
      <alignment wrapText="1"/>
    </xf>
    <xf numFmtId="0" fontId="20" fillId="0" borderId="0" xfId="2" applyFont="1" applyBorder="1" applyAlignment="1">
      <alignment horizontal="center"/>
    </xf>
    <xf numFmtId="0" fontId="17" fillId="2" borderId="0" xfId="2" applyFont="1" applyFill="1" applyBorder="1"/>
    <xf numFmtId="0" fontId="17" fillId="0" borderId="0" xfId="2" applyFont="1" applyBorder="1" applyAlignment="1">
      <alignment horizontal="right"/>
    </xf>
    <xf numFmtId="0" fontId="17" fillId="2" borderId="0" xfId="2" applyFont="1" applyFill="1"/>
    <xf numFmtId="0" fontId="17" fillId="3" borderId="0" xfId="2" applyFont="1" applyFill="1"/>
    <xf numFmtId="3" fontId="17" fillId="0" borderId="0" xfId="18" applyNumberFormat="1" applyFont="1" applyBorder="1"/>
    <xf numFmtId="38" fontId="17" fillId="0" borderId="0" xfId="18" applyNumberFormat="1" applyFont="1" applyBorder="1"/>
    <xf numFmtId="38" fontId="17" fillId="0" borderId="0" xfId="17" applyNumberFormat="1" applyFont="1" applyBorder="1"/>
    <xf numFmtId="9" fontId="17" fillId="0" borderId="0" xfId="17" applyNumberFormat="1" applyFont="1" applyBorder="1"/>
    <xf numFmtId="37" fontId="17" fillId="0" borderId="0" xfId="14" applyNumberFormat="1" applyFont="1" applyBorder="1"/>
    <xf numFmtId="37" fontId="17" fillId="0" borderId="0" xfId="17" applyNumberFormat="1" applyFont="1" applyBorder="1"/>
    <xf numFmtId="38" fontId="28" fillId="0" borderId="0" xfId="18" applyNumberFormat="1" applyFont="1" applyBorder="1" applyAlignment="1">
      <alignment horizontal="left"/>
    </xf>
    <xf numFmtId="3" fontId="22" fillId="0" borderId="0" xfId="16" applyNumberFormat="1" applyFont="1" applyBorder="1"/>
    <xf numFmtId="0" fontId="17" fillId="0" borderId="0" xfId="2" quotePrefix="1" applyFont="1" applyBorder="1"/>
    <xf numFmtId="0" fontId="17" fillId="0" borderId="0" xfId="2" quotePrefix="1" applyFont="1" applyFill="1" applyBorder="1"/>
    <xf numFmtId="0" fontId="17" fillId="0" borderId="0" xfId="2" applyFont="1" applyBorder="1" applyAlignment="1">
      <alignment horizontal="left"/>
    </xf>
    <xf numFmtId="3" fontId="17" fillId="0" borderId="0" xfId="0" applyNumberFormat="1" applyFont="1" applyBorder="1"/>
    <xf numFmtId="0" fontId="17" fillId="0" borderId="3" xfId="0" applyFont="1" applyBorder="1" applyAlignment="1">
      <alignment horizontal="center"/>
    </xf>
    <xf numFmtId="3" fontId="22" fillId="0" borderId="0" xfId="16" applyNumberFormat="1" applyFont="1" applyFill="1" applyBorder="1" applyAlignment="1">
      <alignment horizontal="left"/>
    </xf>
    <xf numFmtId="3" fontId="26" fillId="0" borderId="0" xfId="16" applyNumberFormat="1" applyFont="1" applyFill="1" applyBorder="1"/>
    <xf numFmtId="3" fontId="22" fillId="0" borderId="0" xfId="16" applyNumberFormat="1" applyFont="1" applyFill="1" applyBorder="1"/>
    <xf numFmtId="0" fontId="22" fillId="0" borderId="0" xfId="2" applyFont="1" applyFill="1"/>
    <xf numFmtId="0" fontId="22" fillId="0" borderId="0" xfId="2" applyFont="1" applyFill="1" applyBorder="1"/>
    <xf numFmtId="0" fontId="17" fillId="0" borderId="1" xfId="2" applyFont="1" applyFill="1" applyBorder="1"/>
    <xf numFmtId="0" fontId="17" fillId="0" borderId="0" xfId="0" applyFont="1" applyFill="1" applyAlignment="1"/>
    <xf numFmtId="0" fontId="20" fillId="0" borderId="3" xfId="2" applyFont="1" applyFill="1" applyBorder="1"/>
    <xf numFmtId="0" fontId="17" fillId="0" borderId="3" xfId="2" applyFont="1" applyFill="1" applyBorder="1"/>
    <xf numFmtId="37" fontId="16" fillId="0" borderId="0" xfId="3" applyFont="1" applyFill="1">
      <alignment horizontal="centerContinuous"/>
    </xf>
    <xf numFmtId="3" fontId="18" fillId="0" borderId="0" xfId="0" applyNumberFormat="1" applyFont="1" applyFill="1" applyAlignment="1">
      <alignment horizontal="centerContinuous"/>
    </xf>
    <xf numFmtId="0" fontId="30" fillId="0" borderId="0" xfId="0" applyFont="1" applyFill="1"/>
    <xf numFmtId="3" fontId="30" fillId="0" borderId="0" xfId="0" applyNumberFormat="1" applyFont="1" applyFill="1"/>
    <xf numFmtId="0" fontId="30" fillId="0" borderId="0" xfId="0" applyFont="1" applyFill="1" applyAlignment="1">
      <alignment horizontal="center"/>
    </xf>
    <xf numFmtId="37" fontId="16" fillId="0" borderId="0" xfId="4" applyFont="1" applyFill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"/>
    </xf>
    <xf numFmtId="0" fontId="19" fillId="0" borderId="0" xfId="5" applyFont="1" applyFill="1" applyAlignment="1">
      <alignment horizontal="center"/>
    </xf>
    <xf numFmtId="0" fontId="19" fillId="0" borderId="0" xfId="5" applyFont="1" applyFill="1"/>
    <xf numFmtId="1" fontId="19" fillId="0" borderId="0" xfId="0" quotePrefix="1" applyNumberFormat="1" applyFont="1" applyFill="1" applyAlignment="1">
      <alignment horizontal="right"/>
    </xf>
    <xf numFmtId="3" fontId="18" fillId="0" borderId="0" xfId="0" applyNumberFormat="1" applyFont="1" applyFill="1" applyAlignment="1">
      <alignment horizontal="center"/>
    </xf>
    <xf numFmtId="0" fontId="18" fillId="0" borderId="0" xfId="0" applyFont="1" applyFill="1"/>
    <xf numFmtId="3" fontId="18" fillId="0" borderId="0" xfId="0" applyNumberFormat="1" applyFont="1" applyFill="1"/>
    <xf numFmtId="0" fontId="20" fillId="0" borderId="0" xfId="5" applyFont="1" applyFill="1" applyAlignment="1">
      <alignment horizontal="center"/>
    </xf>
    <xf numFmtId="0" fontId="20" fillId="0" borderId="0" xfId="5" applyFont="1" applyFill="1"/>
    <xf numFmtId="1" fontId="20" fillId="0" borderId="0" xfId="0" quotePrefix="1" applyNumberFormat="1" applyFont="1" applyFill="1" applyAlignment="1">
      <alignment horizontal="right"/>
    </xf>
    <xf numFmtId="3" fontId="30" fillId="0" borderId="0" xfId="0" applyNumberFormat="1" applyFont="1" applyFill="1" applyAlignment="1">
      <alignment horizontal="center"/>
    </xf>
    <xf numFmtId="3" fontId="17" fillId="0" borderId="0" xfId="0" applyNumberFormat="1" applyFont="1" applyFill="1" applyAlignment="1">
      <alignment horizontal="center"/>
    </xf>
    <xf numFmtId="3" fontId="17" fillId="0" borderId="0" xfId="0" applyNumberFormat="1" applyFont="1" applyFill="1" applyBorder="1"/>
    <xf numFmtId="3" fontId="17" fillId="0" borderId="0" xfId="0" quotePrefix="1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center"/>
    </xf>
    <xf numFmtId="0" fontId="20" fillId="0" borderId="3" xfId="6" applyFont="1" applyFill="1" applyBorder="1"/>
    <xf numFmtId="0" fontId="30" fillId="0" borderId="3" xfId="0" applyFont="1" applyFill="1" applyBorder="1" applyAlignment="1">
      <alignment horizontal="center"/>
    </xf>
    <xf numFmtId="3" fontId="17" fillId="0" borderId="3" xfId="0" applyNumberFormat="1" applyFont="1" applyFill="1" applyBorder="1"/>
    <xf numFmtId="0" fontId="20" fillId="0" borderId="0" xfId="6" applyFont="1" applyFill="1" applyBorder="1"/>
    <xf numFmtId="0" fontId="20" fillId="0" borderId="0" xfId="6" applyFont="1" applyFill="1"/>
    <xf numFmtId="0" fontId="20" fillId="0" borderId="4" xfId="6" applyFont="1" applyFill="1" applyBorder="1"/>
    <xf numFmtId="0" fontId="30" fillId="0" borderId="4" xfId="0" applyFont="1" applyFill="1" applyBorder="1" applyAlignment="1">
      <alignment horizontal="center"/>
    </xf>
    <xf numFmtId="3" fontId="20" fillId="0" borderId="4" xfId="0" applyNumberFormat="1" applyFont="1" applyFill="1" applyBorder="1"/>
    <xf numFmtId="3" fontId="17" fillId="0" borderId="4" xfId="0" applyNumberFormat="1" applyFont="1" applyFill="1" applyBorder="1"/>
    <xf numFmtId="3" fontId="17" fillId="0" borderId="0" xfId="0" quotePrefix="1" applyNumberFormat="1" applyFont="1" applyFill="1" applyAlignment="1">
      <alignment horizontal="right"/>
    </xf>
    <xf numFmtId="0" fontId="20" fillId="0" borderId="3" xfId="0" applyFont="1" applyFill="1" applyBorder="1"/>
    <xf numFmtId="3" fontId="20" fillId="0" borderId="0" xfId="0" applyNumberFormat="1" applyFont="1" applyFill="1" applyBorder="1"/>
    <xf numFmtId="0" fontId="20" fillId="0" borderId="2" xfId="5" applyFont="1" applyFill="1" applyBorder="1"/>
    <xf numFmtId="0" fontId="30" fillId="0" borderId="2" xfId="0" applyFont="1" applyFill="1" applyBorder="1" applyAlignment="1">
      <alignment horizontal="center"/>
    </xf>
    <xf numFmtId="3" fontId="20" fillId="0" borderId="2" xfId="0" applyNumberFormat="1" applyFont="1" applyFill="1" applyBorder="1"/>
    <xf numFmtId="3" fontId="17" fillId="0" borderId="2" xfId="0" applyNumberFormat="1" applyFont="1" applyFill="1" applyBorder="1"/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0" fontId="17" fillId="0" borderId="0" xfId="5" applyFont="1" applyFill="1" applyBorder="1"/>
    <xf numFmtId="0" fontId="20" fillId="0" borderId="0" xfId="5" applyFont="1" applyFill="1" applyBorder="1"/>
    <xf numFmtId="0" fontId="17" fillId="0" borderId="0" xfId="0" applyFont="1" applyFill="1" applyBorder="1"/>
    <xf numFmtId="0" fontId="20" fillId="0" borderId="5" xfId="0" applyFont="1" applyFill="1" applyBorder="1"/>
    <xf numFmtId="0" fontId="30" fillId="0" borderId="5" xfId="0" applyFont="1" applyFill="1" applyBorder="1" applyAlignment="1">
      <alignment horizontal="center"/>
    </xf>
    <xf numFmtId="3" fontId="17" fillId="0" borderId="5" xfId="0" applyNumberFormat="1" applyFont="1" applyFill="1" applyBorder="1"/>
    <xf numFmtId="0" fontId="20" fillId="0" borderId="0" xfId="0" applyFont="1" applyFill="1" applyBorder="1"/>
    <xf numFmtId="0" fontId="17" fillId="0" borderId="0" xfId="0" applyFont="1" applyFill="1" applyAlignment="1">
      <alignment horizontal="center"/>
    </xf>
    <xf numFmtId="0" fontId="20" fillId="0" borderId="4" xfId="6" applyFont="1" applyFill="1" applyBorder="1" applyAlignment="1">
      <alignment horizontal="center"/>
    </xf>
    <xf numFmtId="0" fontId="20" fillId="0" borderId="2" xfId="5" applyFont="1" applyFill="1" applyBorder="1" applyAlignment="1">
      <alignment horizontal="center"/>
    </xf>
    <xf numFmtId="3" fontId="30" fillId="0" borderId="2" xfId="0" applyNumberFormat="1" applyFont="1" applyFill="1" applyBorder="1"/>
    <xf numFmtId="0" fontId="30" fillId="0" borderId="0" xfId="0" applyFont="1" applyFill="1" applyBorder="1"/>
    <xf numFmtId="3" fontId="30" fillId="0" borderId="0" xfId="0" applyNumberFormat="1" applyFont="1" applyFill="1" applyBorder="1"/>
    <xf numFmtId="3" fontId="23" fillId="0" borderId="0" xfId="0" quotePrefix="1" applyNumberFormat="1" applyFont="1" applyFill="1" applyAlignment="1">
      <alignment horizontal="right"/>
    </xf>
    <xf numFmtId="0" fontId="12" fillId="0" borderId="0" xfId="0" applyFont="1"/>
    <xf numFmtId="3" fontId="6" fillId="0" borderId="0" xfId="0" applyNumberFormat="1" applyFont="1" applyBorder="1"/>
    <xf numFmtId="0" fontId="6" fillId="0" borderId="0" xfId="0" applyFont="1" applyBorder="1"/>
    <xf numFmtId="0" fontId="12" fillId="0" borderId="0" xfId="0" applyFont="1" applyBorder="1"/>
    <xf numFmtId="0" fontId="0" fillId="0" borderId="0" xfId="0" applyBorder="1" applyAlignment="1">
      <alignment horizontal="center"/>
    </xf>
    <xf numFmtId="3" fontId="12" fillId="0" borderId="0" xfId="0" applyNumberFormat="1" applyFont="1" applyBorder="1"/>
    <xf numFmtId="0" fontId="14" fillId="0" borderId="0" xfId="0" applyFont="1" applyBorder="1" applyAlignment="1">
      <alignment horizontal="center"/>
    </xf>
    <xf numFmtId="3" fontId="17" fillId="0" borderId="3" xfId="0" applyNumberFormat="1" applyFont="1" applyBorder="1" applyAlignment="1">
      <alignment horizontal="right"/>
    </xf>
    <xf numFmtId="37" fontId="16" fillId="0" borderId="0" xfId="11" applyFont="1" applyAlignment="1">
      <alignment horizontal="center"/>
    </xf>
    <xf numFmtId="0" fontId="20" fillId="0" borderId="0" xfId="2" applyFont="1" applyBorder="1" applyAlignment="1">
      <alignment horizontal="center"/>
    </xf>
    <xf numFmtId="0" fontId="20" fillId="0" borderId="0" xfId="2" applyFont="1" applyBorder="1" applyAlignment="1">
      <alignment horizontal="center"/>
    </xf>
    <xf numFmtId="0" fontId="17" fillId="0" borderId="0" xfId="2" applyFont="1" applyAlignment="1">
      <alignment horizontal="left"/>
    </xf>
    <xf numFmtId="1" fontId="20" fillId="0" borderId="1" xfId="2" applyNumberFormat="1" applyFont="1" applyFill="1" applyBorder="1" applyAlignment="1">
      <alignment horizontal="right"/>
    </xf>
    <xf numFmtId="3" fontId="20" fillId="0" borderId="3" xfId="2" applyNumberFormat="1" applyFont="1" applyFill="1" applyBorder="1" applyAlignment="1"/>
    <xf numFmtId="165" fontId="17" fillId="0" borderId="0" xfId="1" applyNumberFormat="1" applyFont="1" applyFill="1" applyBorder="1" applyAlignment="1">
      <alignment horizontal="right" vertical="top"/>
    </xf>
    <xf numFmtId="165" fontId="17" fillId="0" borderId="0" xfId="1" applyNumberFormat="1" applyFont="1" applyFill="1" applyAlignment="1">
      <alignment horizontal="right" vertical="top"/>
    </xf>
    <xf numFmtId="1" fontId="20" fillId="0" borderId="1" xfId="2" applyNumberFormat="1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0" fillId="0" borderId="0" xfId="2" applyFont="1" applyBorder="1" applyAlignment="1">
      <alignment horizontal="right"/>
    </xf>
    <xf numFmtId="38" fontId="30" fillId="0" borderId="0" xfId="2" applyNumberFormat="1" applyFont="1" applyBorder="1"/>
    <xf numFmtId="3" fontId="17" fillId="0" borderId="0" xfId="1" applyNumberFormat="1" applyFont="1" applyBorder="1"/>
    <xf numFmtId="0" fontId="30" fillId="0" borderId="0" xfId="0" applyFont="1" applyFill="1" applyBorder="1" applyAlignment="1">
      <alignment horizontal="left"/>
    </xf>
    <xf numFmtId="1" fontId="20" fillId="0" borderId="0" xfId="2" quotePrefix="1" applyNumberFormat="1" applyFont="1" applyAlignment="1">
      <alignment horizontal="right"/>
    </xf>
    <xf numFmtId="165" fontId="17" fillId="0" borderId="0" xfId="1" applyNumberFormat="1" applyFont="1" applyBorder="1"/>
    <xf numFmtId="165" fontId="20" fillId="0" borderId="3" xfId="1" applyNumberFormat="1" applyFont="1" applyBorder="1"/>
    <xf numFmtId="165" fontId="20" fillId="0" borderId="4" xfId="1" applyNumberFormat="1" applyFont="1" applyBorder="1"/>
    <xf numFmtId="165" fontId="20" fillId="0" borderId="2" xfId="1" applyNumberFormat="1" applyFont="1" applyBorder="1"/>
    <xf numFmtId="1" fontId="20" fillId="0" borderId="0" xfId="1" applyNumberFormat="1" applyFont="1"/>
    <xf numFmtId="3" fontId="17" fillId="4" borderId="0" xfId="2" applyNumberFormat="1" applyFont="1" applyFill="1"/>
    <xf numFmtId="165" fontId="17" fillId="4" borderId="0" xfId="1" applyNumberFormat="1" applyFont="1" applyFill="1"/>
    <xf numFmtId="1" fontId="20" fillId="4" borderId="0" xfId="1" applyNumberFormat="1" applyFont="1" applyFill="1"/>
    <xf numFmtId="165" fontId="20" fillId="4" borderId="3" xfId="1" applyNumberFormat="1" applyFont="1" applyFill="1" applyBorder="1"/>
    <xf numFmtId="165" fontId="20" fillId="4" borderId="4" xfId="1" applyNumberFormat="1" applyFont="1" applyFill="1" applyBorder="1"/>
    <xf numFmtId="165" fontId="20" fillId="4" borderId="2" xfId="1" applyNumberFormat="1" applyFont="1" applyFill="1" applyBorder="1"/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/>
    </xf>
    <xf numFmtId="37" fontId="19" fillId="0" borderId="0" xfId="4" applyFont="1" applyAlignment="1">
      <alignment horizontal="center"/>
    </xf>
    <xf numFmtId="0" fontId="16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2" applyFont="1" applyAlignment="1">
      <alignment horizontal="center" vertical="center"/>
    </xf>
    <xf numFmtId="4" fontId="16" fillId="0" borderId="0" xfId="0" applyNumberFormat="1" applyFont="1" applyFill="1" applyAlignment="1">
      <alignment horizontal="center"/>
    </xf>
    <xf numFmtId="4" fontId="0" fillId="0" borderId="0" xfId="0" applyNumberFormat="1" applyAlignment="1"/>
    <xf numFmtId="37" fontId="16" fillId="0" borderId="0" xfId="11" applyFont="1" applyAlignment="1">
      <alignment horizontal="center"/>
    </xf>
    <xf numFmtId="37" fontId="21" fillId="0" borderId="0" xfId="12" applyFont="1" applyAlignment="1">
      <alignment horizontal="center"/>
    </xf>
    <xf numFmtId="0" fontId="20" fillId="0" borderId="0" xfId="2" applyFont="1" applyBorder="1" applyAlignment="1">
      <alignment horizontal="center"/>
    </xf>
  </cellXfs>
  <cellStyles count="20">
    <cellStyle name="Dato" xfId="7" xr:uid="{00000000-0005-0000-0000-000000000000}"/>
    <cellStyle name="Komma" xfId="1" builtinId="3"/>
    <cellStyle name="Konto" xfId="8" xr:uid="{00000000-0005-0000-0000-000002000000}"/>
    <cellStyle name="Navn" xfId="3" xr:uid="{00000000-0005-0000-0000-000003000000}"/>
    <cellStyle name="Navn 2" xfId="11" xr:uid="{00000000-0005-0000-0000-000004000000}"/>
    <cellStyle name="Normal" xfId="0" builtinId="0"/>
    <cellStyle name="Normal 2" xfId="2" xr:uid="{00000000-0005-0000-0000-000006000000}"/>
    <cellStyle name="Normal 3" xfId="10" xr:uid="{00000000-0005-0000-0000-000007000000}"/>
    <cellStyle name="Normal 4" xfId="19" xr:uid="{00000000-0005-0000-0000-000008000000}"/>
    <cellStyle name="Normal_20 2" xfId="17" xr:uid="{00000000-0005-0000-0000-000009000000}"/>
    <cellStyle name="Normal_21 2" xfId="16" xr:uid="{00000000-0005-0000-0000-00000A000000}"/>
    <cellStyle name="Normal_21a 2" xfId="18" xr:uid="{00000000-0005-0000-0000-00000B000000}"/>
    <cellStyle name="Normal_22 2" xfId="15" xr:uid="{00000000-0005-0000-0000-00000C000000}"/>
    <cellStyle name="Normal_23 2" xfId="13" xr:uid="{00000000-0005-0000-0000-00000D000000}"/>
    <cellStyle name="Overskrift" xfId="5" xr:uid="{00000000-0005-0000-0000-00000E000000}"/>
    <cellStyle name="Prosent 2" xfId="14" xr:uid="{00000000-0005-0000-0000-00000F000000}"/>
    <cellStyle name="Rapport" xfId="4" xr:uid="{00000000-0005-0000-0000-000010000000}"/>
    <cellStyle name="Rapport 2" xfId="12" xr:uid="{00000000-0005-0000-0000-000011000000}"/>
    <cellStyle name="Sum" xfId="6" xr:uid="{00000000-0005-0000-0000-000012000000}"/>
    <cellStyle name="Tall" xfId="9" xr:uid="{00000000-0005-0000-0000-00001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72.21.65.128/Documents%20and%20Settings/us-weno/Local%20Settings/Temporary%20Internet%20Files/Content.Outlook/SWUTQ8JQ/Notearbeid-Norges_Bokseforbund_-_&#197;rsoppgj&#248;rspakke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0"/>
  <sheetViews>
    <sheetView showGridLines="0" tabSelected="1" workbookViewId="0">
      <selection activeCell="B23" sqref="B23"/>
    </sheetView>
  </sheetViews>
  <sheetFormatPr baseColWidth="10" defaultColWidth="9.1796875" defaultRowHeight="14" x14ac:dyDescent="0.3"/>
  <cols>
    <col min="1" max="1" width="13.1796875" style="1" customWidth="1"/>
    <col min="2" max="16384" width="9.1796875" style="1"/>
  </cols>
  <sheetData>
    <row r="7" spans="2:8" x14ac:dyDescent="0.3">
      <c r="B7" s="2"/>
      <c r="C7" s="2"/>
      <c r="D7" s="2"/>
      <c r="E7" s="2"/>
      <c r="F7" s="2"/>
      <c r="G7" s="2"/>
      <c r="H7" s="2"/>
    </row>
    <row r="8" spans="2:8" x14ac:dyDescent="0.3">
      <c r="B8" s="2"/>
      <c r="C8" s="2"/>
      <c r="D8" s="2"/>
      <c r="E8" s="2"/>
      <c r="F8" s="2"/>
      <c r="G8" s="2"/>
      <c r="H8" s="2"/>
    </row>
    <row r="9" spans="2:8" x14ac:dyDescent="0.3">
      <c r="B9" s="2"/>
      <c r="C9" s="2"/>
      <c r="D9" s="2"/>
      <c r="E9" s="2"/>
      <c r="F9" s="2"/>
      <c r="G9" s="2"/>
      <c r="H9" s="2"/>
    </row>
    <row r="10" spans="2:8" ht="60" x14ac:dyDescent="1.1499999999999999">
      <c r="B10" s="223" t="s">
        <v>18</v>
      </c>
      <c r="C10" s="223"/>
      <c r="D10" s="223"/>
      <c r="E10" s="223"/>
      <c r="F10" s="223"/>
      <c r="G10" s="223"/>
      <c r="H10" s="223"/>
    </row>
    <row r="11" spans="2:8" x14ac:dyDescent="0.3">
      <c r="B11" s="2"/>
      <c r="C11" s="2"/>
      <c r="D11" s="2"/>
      <c r="E11" s="2"/>
      <c r="F11" s="2"/>
      <c r="G11" s="2"/>
      <c r="H11" s="2"/>
    </row>
    <row r="12" spans="2:8" x14ac:dyDescent="0.3">
      <c r="B12" s="224" t="s">
        <v>118</v>
      </c>
      <c r="C12" s="224"/>
      <c r="D12" s="224"/>
      <c r="E12" s="224"/>
      <c r="F12" s="224"/>
      <c r="G12" s="224"/>
      <c r="H12" s="224"/>
    </row>
    <row r="13" spans="2:8" x14ac:dyDescent="0.3">
      <c r="B13" s="224"/>
      <c r="C13" s="224"/>
      <c r="D13" s="224"/>
      <c r="E13" s="224"/>
      <c r="F13" s="224"/>
      <c r="G13" s="224"/>
      <c r="H13" s="224"/>
    </row>
    <row r="14" spans="2:8" x14ac:dyDescent="0.3">
      <c r="B14" s="224"/>
      <c r="C14" s="224"/>
      <c r="D14" s="224"/>
      <c r="E14" s="224"/>
      <c r="F14" s="224"/>
      <c r="G14" s="224"/>
      <c r="H14" s="224"/>
    </row>
    <row r="15" spans="2:8" x14ac:dyDescent="0.3">
      <c r="B15" s="224"/>
      <c r="C15" s="224"/>
      <c r="D15" s="224"/>
      <c r="E15" s="224"/>
      <c r="F15" s="224"/>
      <c r="G15" s="224"/>
      <c r="H15" s="224"/>
    </row>
    <row r="16" spans="2:8" x14ac:dyDescent="0.3">
      <c r="B16" s="224"/>
      <c r="C16" s="224"/>
      <c r="D16" s="224"/>
      <c r="E16" s="224"/>
      <c r="F16" s="224"/>
      <c r="G16" s="224"/>
      <c r="H16" s="224"/>
    </row>
    <row r="17" spans="2:8" x14ac:dyDescent="0.3">
      <c r="B17" s="224"/>
      <c r="C17" s="224"/>
      <c r="D17" s="224"/>
      <c r="E17" s="224"/>
      <c r="F17" s="224"/>
      <c r="G17" s="224"/>
      <c r="H17" s="224"/>
    </row>
    <row r="18" spans="2:8" x14ac:dyDescent="0.3">
      <c r="B18" s="224"/>
      <c r="C18" s="224"/>
      <c r="D18" s="224"/>
      <c r="E18" s="224"/>
      <c r="F18" s="224"/>
      <c r="G18" s="224"/>
      <c r="H18" s="224"/>
    </row>
    <row r="19" spans="2:8" x14ac:dyDescent="0.3">
      <c r="B19" s="2"/>
      <c r="C19" s="2"/>
      <c r="D19" s="2"/>
      <c r="E19" s="2"/>
      <c r="F19" s="2"/>
      <c r="G19" s="2"/>
      <c r="H19" s="2"/>
    </row>
    <row r="20" spans="2:8" x14ac:dyDescent="0.3">
      <c r="B20" s="2"/>
      <c r="C20" s="2"/>
      <c r="D20" s="2"/>
      <c r="E20" s="2"/>
      <c r="F20" s="2"/>
      <c r="G20" s="2"/>
      <c r="H20" s="2"/>
    </row>
    <row r="21" spans="2:8" x14ac:dyDescent="0.3">
      <c r="B21" s="2"/>
      <c r="C21" s="2"/>
      <c r="D21" s="2"/>
      <c r="E21" s="2"/>
      <c r="F21" s="2"/>
      <c r="G21" s="2"/>
      <c r="H21" s="2"/>
    </row>
    <row r="22" spans="2:8" ht="30" x14ac:dyDescent="0.6">
      <c r="B22" s="225">
        <v>2019</v>
      </c>
      <c r="C22" s="225"/>
      <c r="D22" s="225"/>
      <c r="E22" s="225"/>
      <c r="F22" s="225"/>
      <c r="G22" s="225"/>
      <c r="H22" s="225"/>
    </row>
    <row r="23" spans="2:8" x14ac:dyDescent="0.3">
      <c r="B23" s="2"/>
      <c r="C23" s="2"/>
      <c r="D23" s="2"/>
      <c r="E23" s="2"/>
      <c r="F23" s="2"/>
      <c r="G23" s="2"/>
      <c r="H23" s="2"/>
    </row>
    <row r="24" spans="2:8" x14ac:dyDescent="0.3">
      <c r="B24" s="2"/>
      <c r="C24" s="2"/>
      <c r="D24" s="2"/>
      <c r="E24" s="2"/>
      <c r="F24" s="2"/>
      <c r="G24" s="2"/>
      <c r="H24" s="2"/>
    </row>
    <row r="25" spans="2:8" x14ac:dyDescent="0.3">
      <c r="B25" s="2"/>
      <c r="C25" s="2"/>
      <c r="D25" s="2"/>
      <c r="E25" s="2"/>
      <c r="F25" s="2"/>
      <c r="G25" s="2"/>
      <c r="H25" s="2"/>
    </row>
    <row r="30" spans="2:8" x14ac:dyDescent="0.3">
      <c r="E30" s="3"/>
    </row>
  </sheetData>
  <mergeCells count="3">
    <mergeCell ref="B10:H10"/>
    <mergeCell ref="B12:H18"/>
    <mergeCell ref="B22:H22"/>
  </mergeCells>
  <phoneticPr fontId="0" type="noConversion"/>
  <pageMargins left="0.78740157499999996" right="0.78740157499999996" top="0.984251969" bottom="0.984251969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FFFF00"/>
    <pageSetUpPr fitToPage="1"/>
  </sheetPr>
  <dimension ref="A1:M59"/>
  <sheetViews>
    <sheetView showGridLines="0" zoomScaleNormal="100" workbookViewId="0">
      <selection activeCell="B18" sqref="B18"/>
    </sheetView>
  </sheetViews>
  <sheetFormatPr baseColWidth="10" defaultColWidth="9.1796875" defaultRowHeight="13" x14ac:dyDescent="0.3"/>
  <cols>
    <col min="1" max="1" width="34.81640625" style="5" customWidth="1"/>
    <col min="2" max="2" width="6" style="7" bestFit="1" customWidth="1"/>
    <col min="3" max="3" width="11.6328125" style="6" customWidth="1"/>
    <col min="4" max="4" width="13.36328125" style="5" customWidth="1"/>
    <col min="5" max="5" width="5.453125" style="5" customWidth="1"/>
    <col min="6" max="6" width="31.36328125" style="5" bestFit="1" customWidth="1"/>
    <col min="7" max="7" width="9.1796875" style="5"/>
    <col min="8" max="8" width="44" style="5" bestFit="1" customWidth="1"/>
    <col min="9" max="9" width="11.453125" style="6" bestFit="1" customWidth="1"/>
    <col min="10" max="10" width="32" style="5" customWidth="1"/>
    <col min="11" max="11" width="11.453125" style="6" bestFit="1" customWidth="1"/>
    <col min="12" max="12" width="9.1796875" style="5"/>
    <col min="13" max="13" width="11" style="5" bestFit="1" customWidth="1"/>
    <col min="14" max="16384" width="9.1796875" style="5"/>
  </cols>
  <sheetData>
    <row r="1" spans="1:6" ht="23.5" x14ac:dyDescent="0.55000000000000004">
      <c r="A1" s="227" t="str">
        <f>+Forside!B12</f>
        <v>Kråkstad Idrettslag</v>
      </c>
      <c r="B1" s="228"/>
      <c r="C1" s="228"/>
    </row>
    <row r="2" spans="1:6" x14ac:dyDescent="0.3">
      <c r="A2" s="4"/>
      <c r="C2" s="8"/>
    </row>
    <row r="3" spans="1:6" ht="18.5" x14ac:dyDescent="0.3">
      <c r="A3" s="229" t="s">
        <v>79</v>
      </c>
      <c r="B3" s="228"/>
      <c r="C3" s="228"/>
    </row>
    <row r="4" spans="1:6" ht="14.5" customHeight="1" x14ac:dyDescent="0.45">
      <c r="A4" s="226"/>
      <c r="B4" s="226"/>
      <c r="C4" s="226"/>
    </row>
    <row r="5" spans="1:6" ht="14.5" customHeight="1" x14ac:dyDescent="0.3"/>
    <row r="6" spans="1:6" x14ac:dyDescent="0.3">
      <c r="A6" s="9" t="s">
        <v>29</v>
      </c>
      <c r="B6" s="10" t="s">
        <v>28</v>
      </c>
      <c r="C6" s="211">
        <f>+Forside!B22</f>
        <v>2019</v>
      </c>
      <c r="D6" s="11">
        <v>2018</v>
      </c>
      <c r="E6" s="11"/>
      <c r="F6" s="11"/>
    </row>
    <row r="7" spans="1:6" x14ac:dyDescent="0.3">
      <c r="B7" s="7">
        <v>1</v>
      </c>
      <c r="D7" s="6"/>
    </row>
    <row r="8" spans="1:6" x14ac:dyDescent="0.3">
      <c r="A8" s="11" t="s">
        <v>105</v>
      </c>
      <c r="D8" s="6"/>
    </row>
    <row r="9" spans="1:6" x14ac:dyDescent="0.3">
      <c r="A9" s="5" t="s">
        <v>20</v>
      </c>
      <c r="B9" s="7">
        <v>2</v>
      </c>
      <c r="C9" s="6">
        <f>31700+81200+28891+127589+7839+55000+10857+1500+22351+34936+3017</f>
        <v>404880</v>
      </c>
      <c r="D9" s="6">
        <f>45800-2700+153400+4170+98266.67+29208.25+51046.25+55000+30524.29</f>
        <v>464715.45999999996</v>
      </c>
      <c r="E9" s="78"/>
    </row>
    <row r="10" spans="1:6" x14ac:dyDescent="0.3">
      <c r="A10" s="5" t="s">
        <v>30</v>
      </c>
      <c r="B10" s="7">
        <v>3</v>
      </c>
      <c r="C10" s="6">
        <f>150000+9485+2020+73869+78649+132306</f>
        <v>446329</v>
      </c>
      <c r="D10" s="6">
        <f>150000+11080+72191.3+2000+55658.8+89825</f>
        <v>380755.1</v>
      </c>
      <c r="E10" s="78"/>
    </row>
    <row r="11" spans="1:6" x14ac:dyDescent="0.3">
      <c r="A11" s="24" t="s">
        <v>9</v>
      </c>
      <c r="B11" s="7">
        <f>1+B10</f>
        <v>4</v>
      </c>
      <c r="C11" s="6">
        <f>33090+100150+108225+77400</f>
        <v>318865</v>
      </c>
      <c r="D11" s="6">
        <f>141100+137250+97800+47638</f>
        <v>423788</v>
      </c>
      <c r="E11" s="78"/>
    </row>
    <row r="12" spans="1:6" ht="18.75" customHeight="1" x14ac:dyDescent="0.3">
      <c r="A12" s="12" t="s">
        <v>10</v>
      </c>
      <c r="B12" s="27"/>
      <c r="C12" s="14">
        <f>SUM(C9:C11)</f>
        <v>1170074</v>
      </c>
      <c r="D12" s="14">
        <f>SUM(D9:D11)</f>
        <v>1269258.56</v>
      </c>
      <c r="E12" s="78"/>
    </row>
    <row r="13" spans="1:6" x14ac:dyDescent="0.3">
      <c r="D13" s="6"/>
      <c r="E13" s="78"/>
    </row>
    <row r="14" spans="1:6" x14ac:dyDescent="0.3">
      <c r="A14" s="11" t="s">
        <v>106</v>
      </c>
      <c r="D14" s="6"/>
      <c r="E14" s="78"/>
    </row>
    <row r="15" spans="1:6" ht="13.5" customHeight="1" x14ac:dyDescent="0.3">
      <c r="A15" s="15" t="s">
        <v>38</v>
      </c>
      <c r="B15" s="16"/>
      <c r="C15" s="6">
        <v>0</v>
      </c>
      <c r="D15" s="6">
        <v>57220</v>
      </c>
      <c r="E15" s="78"/>
      <c r="F15" s="200"/>
    </row>
    <row r="16" spans="1:6" ht="13.5" customHeight="1" x14ac:dyDescent="0.3">
      <c r="A16" s="15" t="s">
        <v>110</v>
      </c>
      <c r="B16" s="16">
        <v>5</v>
      </c>
      <c r="C16" s="6">
        <f>52225+119069+29479+20371+1310+10000+18600+0</f>
        <v>251054</v>
      </c>
      <c r="D16" s="6">
        <f>30000+287083</f>
        <v>317083</v>
      </c>
      <c r="E16" s="78"/>
    </row>
    <row r="17" spans="1:12" ht="13.5" customHeight="1" x14ac:dyDescent="0.3">
      <c r="A17" s="15" t="s">
        <v>213</v>
      </c>
      <c r="B17" s="16">
        <v>7</v>
      </c>
      <c r="C17" s="6">
        <v>865871.5</v>
      </c>
      <c r="D17" s="6"/>
      <c r="E17" s="78"/>
    </row>
    <row r="18" spans="1:12" ht="13.5" customHeight="1" x14ac:dyDescent="0.3">
      <c r="A18" s="24" t="s">
        <v>15</v>
      </c>
      <c r="B18" s="7">
        <v>6</v>
      </c>
      <c r="C18" s="6">
        <f>744606-222454-10000-18600</f>
        <v>493552</v>
      </c>
      <c r="D18" s="6">
        <v>807775</v>
      </c>
      <c r="E18" s="78"/>
    </row>
    <row r="19" spans="1:12" ht="18.75" customHeight="1" x14ac:dyDescent="0.3">
      <c r="A19" s="12" t="s">
        <v>31</v>
      </c>
      <c r="B19" s="27"/>
      <c r="C19" s="14">
        <f>SUM(C15:C18)</f>
        <v>1610477.5</v>
      </c>
      <c r="D19" s="14">
        <f>SUM(D15:D18)</f>
        <v>1182078</v>
      </c>
      <c r="E19" s="78"/>
    </row>
    <row r="20" spans="1:12" x14ac:dyDescent="0.3">
      <c r="D20" s="6"/>
      <c r="E20" s="78"/>
    </row>
    <row r="21" spans="1:12" ht="18.75" customHeight="1" thickBot="1" x14ac:dyDescent="0.35">
      <c r="A21" s="29" t="s">
        <v>32</v>
      </c>
      <c r="B21" s="30"/>
      <c r="C21" s="31">
        <f>C12-C19</f>
        <v>-440403.5</v>
      </c>
      <c r="D21" s="31">
        <f>D12-D19</f>
        <v>87180.560000000056</v>
      </c>
      <c r="E21" s="78"/>
    </row>
    <row r="22" spans="1:12" ht="19.5" customHeight="1" x14ac:dyDescent="0.3">
      <c r="D22" s="6"/>
      <c r="E22" s="78"/>
    </row>
    <row r="23" spans="1:12" x14ac:dyDescent="0.3">
      <c r="A23" s="17" t="s">
        <v>36</v>
      </c>
      <c r="B23" s="13"/>
      <c r="D23" s="6"/>
      <c r="E23" s="78"/>
    </row>
    <row r="24" spans="1:12" x14ac:dyDescent="0.3">
      <c r="A24" s="18" t="s">
        <v>33</v>
      </c>
      <c r="B24" s="19"/>
      <c r="C24" s="6">
        <v>16014</v>
      </c>
      <c r="D24" s="6">
        <v>9846</v>
      </c>
      <c r="E24" s="78"/>
    </row>
    <row r="25" spans="1:12" x14ac:dyDescent="0.3">
      <c r="A25" s="24" t="s">
        <v>34</v>
      </c>
      <c r="C25" s="6">
        <v>315</v>
      </c>
      <c r="D25" s="6">
        <v>132</v>
      </c>
      <c r="E25" s="78"/>
    </row>
    <row r="26" spans="1:12" ht="18.75" customHeight="1" x14ac:dyDescent="0.3">
      <c r="A26" s="12" t="s">
        <v>76</v>
      </c>
      <c r="B26" s="27"/>
      <c r="C26" s="14">
        <f>C24-C25</f>
        <v>15699</v>
      </c>
      <c r="D26" s="14">
        <f>D24-D25</f>
        <v>9714</v>
      </c>
      <c r="E26" s="78"/>
    </row>
    <row r="27" spans="1:12" ht="22.5" customHeight="1" x14ac:dyDescent="0.3">
      <c r="A27" s="11"/>
      <c r="B27" s="20"/>
      <c r="D27" s="6"/>
      <c r="E27" s="78"/>
    </row>
    <row r="28" spans="1:12" ht="18.75" customHeight="1" thickBot="1" x14ac:dyDescent="0.35">
      <c r="A28" s="34" t="s">
        <v>35</v>
      </c>
      <c r="B28" s="35"/>
      <c r="C28" s="26">
        <f>+C21+C26</f>
        <v>-424704.5</v>
      </c>
      <c r="D28" s="26">
        <f>+D21+D26</f>
        <v>96894.560000000056</v>
      </c>
      <c r="E28" s="78"/>
    </row>
    <row r="29" spans="1:12" ht="13.5" thickTop="1" x14ac:dyDescent="0.3">
      <c r="D29" s="6"/>
      <c r="E29" s="78"/>
    </row>
    <row r="30" spans="1:12" x14ac:dyDescent="0.3">
      <c r="D30" s="6"/>
      <c r="E30" s="78"/>
    </row>
    <row r="31" spans="1:12" s="24" customFormat="1" x14ac:dyDescent="0.3">
      <c r="A31" s="21" t="s">
        <v>37</v>
      </c>
      <c r="B31" s="108"/>
      <c r="C31" s="23"/>
      <c r="D31" s="23"/>
      <c r="E31" s="212"/>
      <c r="H31" s="5"/>
      <c r="I31" s="6"/>
      <c r="J31" s="5"/>
      <c r="K31" s="6"/>
      <c r="L31" s="5"/>
    </row>
    <row r="32" spans="1:12" s="24" customFormat="1" x14ac:dyDescent="0.3">
      <c r="A32" s="24" t="s">
        <v>214</v>
      </c>
      <c r="B32" s="25"/>
      <c r="C32" s="23">
        <v>-424705</v>
      </c>
      <c r="D32" s="23">
        <v>96895</v>
      </c>
      <c r="E32" s="212"/>
      <c r="H32" s="5"/>
      <c r="I32" s="6"/>
      <c r="J32" s="5"/>
      <c r="K32" s="6"/>
      <c r="L32" s="5"/>
    </row>
    <row r="33" spans="1:12" s="24" customFormat="1" ht="18.75" customHeight="1" thickBot="1" x14ac:dyDescent="0.35">
      <c r="A33" s="32" t="s">
        <v>14</v>
      </c>
      <c r="B33" s="33"/>
      <c r="C33" s="26">
        <f>SUM(C32)</f>
        <v>-424705</v>
      </c>
      <c r="D33" s="26">
        <f>SUM(D32)</f>
        <v>96895</v>
      </c>
      <c r="E33" s="212"/>
      <c r="H33" s="5"/>
      <c r="I33" s="6"/>
      <c r="J33" s="5"/>
      <c r="K33" s="6"/>
      <c r="L33" s="5"/>
    </row>
    <row r="34" spans="1:12" s="24" customFormat="1" ht="13.5" thickTop="1" x14ac:dyDescent="0.3">
      <c r="B34" s="25"/>
      <c r="C34" s="23"/>
      <c r="H34" s="5"/>
      <c r="I34" s="6"/>
      <c r="J34" s="5"/>
      <c r="K34" s="6"/>
      <c r="L34" s="5"/>
    </row>
    <row r="35" spans="1:12" s="24" customFormat="1" x14ac:dyDescent="0.3">
      <c r="A35" s="21"/>
      <c r="B35" s="22"/>
      <c r="C35" s="23"/>
      <c r="H35" s="5"/>
      <c r="I35" s="6"/>
      <c r="J35" s="5"/>
      <c r="K35" s="6"/>
      <c r="L35" s="5"/>
    </row>
    <row r="55" spans="6:13" x14ac:dyDescent="0.3">
      <c r="F55" s="6"/>
    </row>
    <row r="59" spans="6:13" x14ac:dyDescent="0.3">
      <c r="M59" s="6">
        <f>+K57+K71+K78+K85+K103</f>
        <v>0</v>
      </c>
    </row>
  </sheetData>
  <mergeCells count="3">
    <mergeCell ref="A4:C4"/>
    <mergeCell ref="A1:C1"/>
    <mergeCell ref="A3:C3"/>
  </mergeCells>
  <printOptions horizontalCentered="1"/>
  <pageMargins left="0.39370078740157483" right="0.39370078740157483" top="0.70866141732283472" bottom="0.39370078740157483" header="0" footer="0"/>
  <pageSetup paperSize="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62"/>
  <sheetViews>
    <sheetView showGridLines="0" topLeftCell="A28" zoomScaleNormal="100" zoomScaleSheetLayoutView="85" workbookViewId="0">
      <selection activeCell="E24" sqref="E24"/>
    </sheetView>
  </sheetViews>
  <sheetFormatPr baseColWidth="10" defaultColWidth="11.453125" defaultRowHeight="14.5" x14ac:dyDescent="0.35"/>
  <cols>
    <col min="1" max="1" width="2.453125" style="137" customWidth="1"/>
    <col min="2" max="2" width="25.6328125" style="137" customWidth="1"/>
    <col min="3" max="3" width="19.453125" style="137" customWidth="1"/>
    <col min="4" max="4" width="8.6328125" style="139" customWidth="1"/>
    <col min="5" max="5" width="10.6328125" style="137" customWidth="1"/>
    <col min="6" max="6" width="5" style="137" customWidth="1"/>
    <col min="7" max="7" width="10.6328125" style="137" customWidth="1"/>
    <col min="8" max="8" width="3.6328125" style="137" customWidth="1"/>
    <col min="9" max="9" width="40.453125" style="137" bestFit="1" customWidth="1"/>
    <col min="10" max="16384" width="11.453125" style="137"/>
  </cols>
  <sheetData>
    <row r="1" spans="1:12" ht="23.5" x14ac:dyDescent="0.55000000000000004">
      <c r="A1" s="135"/>
      <c r="B1" s="230" t="str">
        <f>+Forside!B12</f>
        <v>Kråkstad Idrettslag</v>
      </c>
      <c r="C1" s="231"/>
      <c r="D1" s="231"/>
      <c r="E1" s="231"/>
      <c r="F1" s="231"/>
      <c r="G1" s="231"/>
      <c r="H1" s="188"/>
      <c r="I1" s="138"/>
      <c r="J1" s="138"/>
      <c r="K1" s="138"/>
      <c r="L1" s="138"/>
    </row>
    <row r="2" spans="1:12" x14ac:dyDescent="0.35">
      <c r="E2" s="54"/>
      <c r="F2" s="138"/>
      <c r="G2" s="138"/>
      <c r="I2" s="138"/>
      <c r="J2" s="138"/>
      <c r="K2" s="138"/>
      <c r="L2" s="138"/>
    </row>
    <row r="3" spans="1:12" ht="23.5" x14ac:dyDescent="0.55000000000000004">
      <c r="A3" s="140"/>
      <c r="B3" s="141" t="s">
        <v>78</v>
      </c>
      <c r="C3" s="141"/>
      <c r="D3" s="141"/>
      <c r="E3" s="136"/>
      <c r="F3" s="136"/>
      <c r="G3" s="136"/>
      <c r="I3" s="138"/>
      <c r="J3" s="138"/>
      <c r="K3" s="138"/>
      <c r="L3" s="138"/>
    </row>
    <row r="4" spans="1:12" ht="14.5" customHeight="1" x14ac:dyDescent="0.55000000000000004">
      <c r="A4" s="140"/>
      <c r="B4" s="141"/>
      <c r="C4" s="141"/>
      <c r="D4" s="142"/>
      <c r="E4" s="136"/>
      <c r="F4" s="136"/>
      <c r="G4" s="136"/>
      <c r="I4" s="138"/>
      <c r="J4" s="138"/>
      <c r="K4" s="138"/>
      <c r="L4" s="138"/>
    </row>
    <row r="5" spans="1:12" ht="14.5" customHeight="1" x14ac:dyDescent="0.55000000000000004">
      <c r="A5" s="140"/>
      <c r="B5" s="141"/>
      <c r="C5" s="141"/>
      <c r="D5" s="142"/>
      <c r="E5" s="136"/>
      <c r="F5" s="136"/>
      <c r="G5" s="136"/>
      <c r="I5" s="138"/>
      <c r="J5" s="138"/>
      <c r="K5" s="138"/>
      <c r="L5" s="138"/>
    </row>
    <row r="6" spans="1:12" s="147" customFormat="1" ht="18.5" x14ac:dyDescent="0.45">
      <c r="A6" s="143"/>
      <c r="B6" s="144" t="s">
        <v>0</v>
      </c>
      <c r="C6" s="144"/>
      <c r="D6" s="143" t="s">
        <v>28</v>
      </c>
      <c r="E6" s="145">
        <f>+Resultat!C6</f>
        <v>2019</v>
      </c>
      <c r="F6" s="146"/>
      <c r="G6" s="145">
        <v>2018</v>
      </c>
      <c r="I6" s="148"/>
      <c r="J6" s="148"/>
      <c r="K6" s="148"/>
      <c r="L6" s="148"/>
    </row>
    <row r="7" spans="1:12" x14ac:dyDescent="0.35">
      <c r="A7" s="149"/>
      <c r="B7" s="150"/>
      <c r="C7" s="150"/>
      <c r="D7" s="149"/>
      <c r="E7" s="151"/>
      <c r="F7" s="152"/>
      <c r="G7" s="151"/>
      <c r="I7" s="138"/>
      <c r="J7" s="138"/>
      <c r="K7" s="138"/>
      <c r="L7" s="138"/>
    </row>
    <row r="8" spans="1:12" x14ac:dyDescent="0.35">
      <c r="A8" s="149"/>
      <c r="B8" s="150" t="s">
        <v>39</v>
      </c>
      <c r="C8" s="150"/>
      <c r="D8" s="149"/>
      <c r="E8" s="54"/>
      <c r="F8" s="153"/>
      <c r="G8" s="54"/>
      <c r="I8" s="138"/>
      <c r="J8" s="138"/>
      <c r="K8" s="138"/>
      <c r="L8" s="138"/>
    </row>
    <row r="9" spans="1:12" x14ac:dyDescent="0.35">
      <c r="A9" s="149"/>
      <c r="B9" s="150" t="s">
        <v>51</v>
      </c>
      <c r="C9" s="150"/>
      <c r="D9" s="149"/>
      <c r="E9" s="54"/>
      <c r="F9" s="153"/>
      <c r="G9" s="54"/>
      <c r="I9" s="138"/>
      <c r="J9" s="138"/>
      <c r="K9" s="138"/>
      <c r="L9" s="138"/>
    </row>
    <row r="10" spans="1:12" x14ac:dyDescent="0.35">
      <c r="A10" s="139"/>
      <c r="B10" s="40" t="s">
        <v>40</v>
      </c>
      <c r="C10" s="40"/>
      <c r="D10" s="139">
        <v>7</v>
      </c>
      <c r="E10" s="154">
        <v>1</v>
      </c>
      <c r="F10" s="54"/>
      <c r="G10" s="155">
        <v>865873</v>
      </c>
      <c r="I10" s="138"/>
      <c r="J10" s="138"/>
      <c r="K10" s="138"/>
      <c r="L10" s="138"/>
    </row>
    <row r="11" spans="1:12" x14ac:dyDescent="0.35">
      <c r="A11" s="156"/>
      <c r="B11" s="157" t="s">
        <v>52</v>
      </c>
      <c r="C11" s="157"/>
      <c r="D11" s="158"/>
      <c r="E11" s="159">
        <f>+E10</f>
        <v>1</v>
      </c>
      <c r="F11" s="159"/>
      <c r="G11" s="159">
        <f>+G10</f>
        <v>865873</v>
      </c>
      <c r="I11" s="138"/>
      <c r="J11" s="138"/>
      <c r="K11" s="138"/>
      <c r="L11" s="138"/>
    </row>
    <row r="12" spans="1:12" x14ac:dyDescent="0.35">
      <c r="A12" s="156"/>
      <c r="B12" s="160"/>
      <c r="C12" s="160"/>
      <c r="D12" s="156"/>
      <c r="E12" s="154"/>
      <c r="F12" s="154"/>
      <c r="G12" s="154"/>
      <c r="I12" s="138"/>
      <c r="J12" s="138"/>
      <c r="K12" s="138"/>
      <c r="L12" s="138"/>
    </row>
    <row r="13" spans="1:12" ht="15" thickBot="1" x14ac:dyDescent="0.4">
      <c r="A13" s="139"/>
      <c r="B13" s="162" t="s">
        <v>50</v>
      </c>
      <c r="C13" s="163"/>
      <c r="D13" s="163"/>
      <c r="E13" s="164">
        <f>SUM(E11)</f>
        <v>1</v>
      </c>
      <c r="F13" s="165"/>
      <c r="G13" s="164">
        <f>SUM(G11)</f>
        <v>865873</v>
      </c>
      <c r="I13" s="138"/>
      <c r="J13" s="138"/>
      <c r="K13" s="138"/>
      <c r="L13" s="138"/>
    </row>
    <row r="14" spans="1:12" x14ac:dyDescent="0.35">
      <c r="A14" s="139"/>
      <c r="B14" s="161"/>
      <c r="C14" s="161"/>
      <c r="E14" s="54"/>
      <c r="F14" s="54"/>
      <c r="G14" s="54"/>
      <c r="I14" s="138"/>
      <c r="J14" s="138"/>
      <c r="K14" s="138"/>
      <c r="L14" s="138"/>
    </row>
    <row r="15" spans="1:12" x14ac:dyDescent="0.35">
      <c r="A15" s="139"/>
      <c r="B15" s="161"/>
      <c r="C15" s="161"/>
      <c r="E15" s="54"/>
      <c r="F15" s="54"/>
      <c r="G15" s="54"/>
      <c r="I15" s="138"/>
      <c r="J15" s="138"/>
      <c r="K15" s="138"/>
      <c r="L15" s="138"/>
    </row>
    <row r="16" spans="1:12" x14ac:dyDescent="0.35">
      <c r="A16" s="139"/>
      <c r="B16" s="150" t="s">
        <v>1</v>
      </c>
      <c r="C16" s="150"/>
      <c r="E16" s="54"/>
      <c r="F16" s="54"/>
      <c r="G16" s="54"/>
      <c r="I16" s="138"/>
      <c r="J16" s="138"/>
      <c r="K16" s="138"/>
      <c r="L16" s="138"/>
    </row>
    <row r="17" spans="1:14" x14ac:dyDescent="0.35">
      <c r="A17" s="139"/>
      <c r="B17" s="150" t="s">
        <v>111</v>
      </c>
      <c r="C17" s="150"/>
      <c r="E17" s="54"/>
      <c r="F17" s="54"/>
      <c r="G17" s="54"/>
      <c r="I17" s="138"/>
      <c r="J17" s="138"/>
      <c r="K17" s="138"/>
      <c r="L17" s="138"/>
    </row>
    <row r="18" spans="1:14" x14ac:dyDescent="0.35">
      <c r="A18" s="139"/>
      <c r="B18" s="40" t="s">
        <v>13</v>
      </c>
      <c r="C18" s="40"/>
      <c r="D18" s="139">
        <v>8</v>
      </c>
      <c r="E18" s="54">
        <v>5000</v>
      </c>
      <c r="F18" s="54"/>
      <c r="G18" s="54">
        <v>5000</v>
      </c>
      <c r="I18" s="138"/>
      <c r="J18" s="138"/>
      <c r="K18" s="138"/>
      <c r="L18" s="138"/>
    </row>
    <row r="19" spans="1:14" x14ac:dyDescent="0.35">
      <c r="A19" s="139"/>
      <c r="B19" s="167" t="s">
        <v>112</v>
      </c>
      <c r="C19" s="167"/>
      <c r="D19" s="158"/>
      <c r="E19" s="159">
        <f>SUM(E16:E18)</f>
        <v>5000</v>
      </c>
      <c r="F19" s="159"/>
      <c r="G19" s="159">
        <f>SUM(G16:G18)</f>
        <v>5000</v>
      </c>
      <c r="I19" s="138"/>
      <c r="J19" s="138"/>
      <c r="K19" s="138"/>
      <c r="L19" s="138"/>
    </row>
    <row r="20" spans="1:14" x14ac:dyDescent="0.35">
      <c r="A20" s="139"/>
      <c r="B20" s="150"/>
      <c r="C20" s="150"/>
      <c r="E20" s="54"/>
      <c r="F20" s="54"/>
      <c r="G20" s="54"/>
      <c r="I20" s="138"/>
      <c r="J20" s="138"/>
      <c r="K20" s="138"/>
      <c r="L20" s="138"/>
    </row>
    <row r="21" spans="1:14" x14ac:dyDescent="0.35">
      <c r="A21" s="139"/>
      <c r="B21" s="41" t="s">
        <v>22</v>
      </c>
      <c r="C21" s="41"/>
      <c r="E21" s="54"/>
      <c r="F21" s="54"/>
      <c r="G21" s="54"/>
      <c r="I21" s="138"/>
      <c r="J21" s="138"/>
      <c r="K21" s="138"/>
      <c r="L21" s="138"/>
    </row>
    <row r="22" spans="1:14" x14ac:dyDescent="0.35">
      <c r="A22" s="139"/>
      <c r="B22" s="40" t="s">
        <v>41</v>
      </c>
      <c r="C22" s="40"/>
      <c r="E22" s="54">
        <v>0</v>
      </c>
      <c r="F22" s="54"/>
      <c r="G22" s="54">
        <v>0</v>
      </c>
      <c r="I22" s="138"/>
      <c r="J22" s="138"/>
      <c r="K22" s="138"/>
      <c r="L22" s="138"/>
    </row>
    <row r="23" spans="1:14" x14ac:dyDescent="0.35">
      <c r="A23" s="139"/>
      <c r="B23" s="40" t="s">
        <v>2</v>
      </c>
      <c r="C23" s="40"/>
      <c r="E23" s="54">
        <v>32480</v>
      </c>
      <c r="F23" s="154"/>
      <c r="G23" s="166">
        <v>0</v>
      </c>
      <c r="I23" s="138"/>
      <c r="J23" s="138"/>
      <c r="K23" s="138"/>
      <c r="L23" s="138"/>
    </row>
    <row r="24" spans="1:14" x14ac:dyDescent="0.35">
      <c r="A24" s="156"/>
      <c r="B24" s="167" t="s">
        <v>42</v>
      </c>
      <c r="C24" s="167"/>
      <c r="D24" s="158"/>
      <c r="E24" s="159">
        <f>SUM(E22:E23)</f>
        <v>32480</v>
      </c>
      <c r="F24" s="159"/>
      <c r="G24" s="159">
        <f>SUM(G22:G23)</f>
        <v>0</v>
      </c>
      <c r="I24" s="138"/>
      <c r="J24" s="138"/>
      <c r="K24" s="138"/>
      <c r="L24" s="138"/>
    </row>
    <row r="25" spans="1:14" x14ac:dyDescent="0.35">
      <c r="A25" s="139"/>
      <c r="B25" s="40"/>
      <c r="C25" s="40"/>
      <c r="E25" s="54"/>
      <c r="F25" s="54"/>
      <c r="G25" s="54"/>
      <c r="I25" s="138"/>
      <c r="J25" s="138"/>
      <c r="K25" s="138"/>
      <c r="L25" s="138"/>
    </row>
    <row r="26" spans="1:14" x14ac:dyDescent="0.35">
      <c r="A26" s="156"/>
      <c r="B26" s="167" t="s">
        <v>43</v>
      </c>
      <c r="C26" s="167"/>
      <c r="D26" s="158"/>
      <c r="E26" s="159">
        <f>4907567-865873-5000+1</f>
        <v>4036695</v>
      </c>
      <c r="F26" s="159"/>
      <c r="G26" s="159">
        <v>3593942</v>
      </c>
      <c r="I26" s="138"/>
      <c r="J26" s="138"/>
      <c r="K26" s="138"/>
      <c r="L26" s="138"/>
    </row>
    <row r="27" spans="1:14" x14ac:dyDescent="0.35">
      <c r="A27" s="139"/>
      <c r="B27" s="40" t="s">
        <v>44</v>
      </c>
      <c r="C27" s="40"/>
      <c r="E27" s="54"/>
      <c r="F27" s="54"/>
      <c r="G27" s="168"/>
      <c r="I27" s="138"/>
      <c r="J27" s="138"/>
      <c r="K27" s="138"/>
      <c r="L27" s="138"/>
    </row>
    <row r="28" spans="1:14" ht="15" thickBot="1" x14ac:dyDescent="0.4">
      <c r="A28" s="139"/>
      <c r="B28" s="162" t="s">
        <v>3</v>
      </c>
      <c r="C28" s="162"/>
      <c r="D28" s="163"/>
      <c r="E28" s="164">
        <f>+E26+E24+E19</f>
        <v>4074175</v>
      </c>
      <c r="F28" s="165"/>
      <c r="G28" s="164">
        <f>+G26+G24+G19</f>
        <v>3598942</v>
      </c>
      <c r="I28" s="138"/>
      <c r="J28" s="138"/>
      <c r="K28" s="138"/>
      <c r="L28" s="138"/>
    </row>
    <row r="29" spans="1:14" x14ac:dyDescent="0.35">
      <c r="A29" s="139"/>
      <c r="B29" s="40"/>
      <c r="C29" s="40"/>
      <c r="E29" s="54"/>
      <c r="F29" s="54"/>
      <c r="G29" s="54"/>
      <c r="I29" s="138"/>
      <c r="J29" s="138"/>
      <c r="K29" s="138"/>
      <c r="L29" s="138"/>
    </row>
    <row r="30" spans="1:14" x14ac:dyDescent="0.35">
      <c r="A30" s="139"/>
      <c r="B30" s="40"/>
      <c r="C30" s="40"/>
      <c r="E30" s="54"/>
      <c r="F30" s="54"/>
      <c r="G30" s="54"/>
      <c r="I30" s="138"/>
      <c r="J30" s="138"/>
      <c r="K30" s="138"/>
      <c r="L30" s="138"/>
    </row>
    <row r="31" spans="1:14" ht="18.75" customHeight="1" thickBot="1" x14ac:dyDescent="0.4">
      <c r="A31" s="139"/>
      <c r="B31" s="169" t="s">
        <v>12</v>
      </c>
      <c r="C31" s="169"/>
      <c r="D31" s="170"/>
      <c r="E31" s="171">
        <f>+E13+E28</f>
        <v>4074176</v>
      </c>
      <c r="F31" s="172"/>
      <c r="G31" s="171">
        <f>+G13+G28</f>
        <v>4464815</v>
      </c>
      <c r="I31" s="187"/>
      <c r="J31" s="187"/>
      <c r="K31" s="187"/>
      <c r="L31" s="187"/>
      <c r="M31" s="186"/>
      <c r="N31" s="186"/>
    </row>
    <row r="32" spans="1:14" ht="15" thickTop="1" x14ac:dyDescent="0.35">
      <c r="A32" s="173"/>
      <c r="B32" s="40"/>
      <c r="C32" s="40"/>
      <c r="D32" s="174"/>
      <c r="E32" s="54"/>
      <c r="F32" s="54"/>
      <c r="G32" s="54"/>
      <c r="I32" s="192"/>
      <c r="J32" s="191"/>
      <c r="K32" s="193"/>
      <c r="L32" s="193"/>
      <c r="M32" s="190"/>
      <c r="N32" s="193"/>
    </row>
    <row r="33" spans="1:14" s="147" customFormat="1" ht="18.5" x14ac:dyDescent="0.45">
      <c r="A33" s="143"/>
      <c r="B33" s="144" t="s">
        <v>45</v>
      </c>
      <c r="C33" s="144"/>
      <c r="D33" s="143" t="s">
        <v>28</v>
      </c>
      <c r="E33" s="145">
        <f>+E6</f>
        <v>2019</v>
      </c>
      <c r="F33" s="146"/>
      <c r="G33" s="145">
        <f>+G6</f>
        <v>2018</v>
      </c>
      <c r="I33" s="190"/>
      <c r="J33" s="191"/>
      <c r="K33" s="193"/>
      <c r="L33" s="190"/>
      <c r="M33" s="193"/>
      <c r="N33" s="190"/>
    </row>
    <row r="34" spans="1:14" x14ac:dyDescent="0.35">
      <c r="B34" s="40"/>
      <c r="C34" s="40"/>
      <c r="E34" s="54"/>
      <c r="F34" s="54"/>
      <c r="G34" s="154"/>
      <c r="I34" s="192"/>
      <c r="J34" s="191"/>
      <c r="K34" s="193"/>
      <c r="L34" s="190"/>
      <c r="M34" s="193"/>
      <c r="N34" s="190"/>
    </row>
    <row r="35" spans="1:14" x14ac:dyDescent="0.35">
      <c r="B35" s="189" t="s">
        <v>113</v>
      </c>
      <c r="C35" s="40"/>
      <c r="E35" s="54"/>
      <c r="F35" s="54"/>
      <c r="G35" s="154"/>
      <c r="I35" s="191"/>
      <c r="J35" s="191"/>
      <c r="K35" s="193"/>
      <c r="L35" s="190"/>
      <c r="M35" s="193"/>
      <c r="N35" s="190"/>
    </row>
    <row r="36" spans="1:14" x14ac:dyDescent="0.35">
      <c r="A36" s="139"/>
      <c r="B36" s="175" t="s">
        <v>8</v>
      </c>
      <c r="C36" s="176"/>
      <c r="D36" s="139">
        <v>9</v>
      </c>
      <c r="E36" s="166">
        <v>4439681</v>
      </c>
      <c r="F36" s="154"/>
      <c r="G36" s="166">
        <v>4342786.03</v>
      </c>
      <c r="I36" s="192"/>
      <c r="J36" s="192"/>
      <c r="K36" s="193"/>
      <c r="L36" s="194"/>
      <c r="M36" s="195"/>
      <c r="N36" s="194"/>
    </row>
    <row r="37" spans="1:14" x14ac:dyDescent="0.35">
      <c r="A37" s="139"/>
      <c r="B37" s="191" t="s">
        <v>119</v>
      </c>
      <c r="C37" s="177"/>
      <c r="D37" s="139">
        <v>9</v>
      </c>
      <c r="E37" s="154">
        <f>Resultat!C32</f>
        <v>-424705</v>
      </c>
      <c r="F37" s="154"/>
      <c r="G37" s="154">
        <f>Resultat!D32</f>
        <v>96895</v>
      </c>
      <c r="I37" s="187"/>
      <c r="J37" s="187"/>
      <c r="K37" s="187"/>
      <c r="L37" s="187"/>
      <c r="M37" s="186"/>
      <c r="N37" s="186"/>
    </row>
    <row r="38" spans="1:14" ht="15" thickBot="1" x14ac:dyDescent="0.4">
      <c r="A38" s="139"/>
      <c r="B38" s="178" t="s">
        <v>114</v>
      </c>
      <c r="C38" s="178"/>
      <c r="D38" s="179">
        <v>9</v>
      </c>
      <c r="E38" s="180">
        <f>SUM(E36:E37)</f>
        <v>4014976</v>
      </c>
      <c r="F38" s="180"/>
      <c r="G38" s="180">
        <f>SUM(G36:G37)</f>
        <v>4439681.03</v>
      </c>
      <c r="I38" s="138"/>
      <c r="J38" s="138"/>
      <c r="K38" s="138"/>
      <c r="L38" s="138"/>
    </row>
    <row r="39" spans="1:14" x14ac:dyDescent="0.35">
      <c r="A39" s="139"/>
      <c r="B39" s="181"/>
      <c r="C39" s="181"/>
      <c r="E39" s="154"/>
      <c r="F39" s="154"/>
      <c r="G39" s="154"/>
      <c r="I39" s="138"/>
      <c r="J39" s="138"/>
      <c r="K39" s="138"/>
      <c r="L39" s="138"/>
    </row>
    <row r="40" spans="1:14" ht="15" thickBot="1" x14ac:dyDescent="0.4">
      <c r="A40" s="139"/>
      <c r="B40" s="162" t="s">
        <v>46</v>
      </c>
      <c r="C40" s="162"/>
      <c r="D40" s="163">
        <v>9</v>
      </c>
      <c r="E40" s="164">
        <f>SUM(E38)</f>
        <v>4014976</v>
      </c>
      <c r="F40" s="165"/>
      <c r="G40" s="164">
        <f>SUM(G38)</f>
        <v>4439681.03</v>
      </c>
      <c r="I40" s="138"/>
      <c r="J40" s="138"/>
      <c r="K40" s="138"/>
      <c r="L40" s="138"/>
    </row>
    <row r="41" spans="1:14" x14ac:dyDescent="0.35">
      <c r="A41" s="139"/>
      <c r="B41" s="181"/>
      <c r="C41" s="181"/>
      <c r="E41" s="154"/>
      <c r="F41" s="154"/>
      <c r="G41" s="154"/>
      <c r="I41" s="138"/>
      <c r="J41" s="138"/>
      <c r="K41" s="138"/>
      <c r="L41" s="138"/>
    </row>
    <row r="42" spans="1:14" x14ac:dyDescent="0.35">
      <c r="A42" s="139"/>
      <c r="B42" s="181"/>
      <c r="C42" s="181"/>
      <c r="E42" s="154"/>
      <c r="F42" s="154"/>
      <c r="G42" s="154"/>
      <c r="I42" s="138"/>
      <c r="J42" s="138"/>
      <c r="K42" s="138"/>
      <c r="L42" s="138"/>
    </row>
    <row r="43" spans="1:14" x14ac:dyDescent="0.35">
      <c r="A43" s="139"/>
      <c r="B43" s="41" t="s">
        <v>62</v>
      </c>
      <c r="C43" s="41"/>
      <c r="E43" s="54"/>
      <c r="F43" s="54"/>
      <c r="G43" s="154"/>
      <c r="I43" s="138"/>
      <c r="J43" s="138"/>
      <c r="K43" s="138"/>
      <c r="L43" s="138"/>
    </row>
    <row r="44" spans="1:14" x14ac:dyDescent="0.35">
      <c r="A44" s="139"/>
      <c r="B44" s="40" t="s">
        <v>63</v>
      </c>
      <c r="C44" s="40"/>
      <c r="E44" s="54">
        <v>0</v>
      </c>
      <c r="F44" s="54"/>
      <c r="G44" s="166">
        <v>0</v>
      </c>
      <c r="I44" s="138"/>
      <c r="J44" s="138"/>
      <c r="K44" s="138"/>
      <c r="L44" s="138"/>
    </row>
    <row r="45" spans="1:14" x14ac:dyDescent="0.35">
      <c r="A45" s="139"/>
      <c r="B45" s="40" t="s">
        <v>64</v>
      </c>
      <c r="C45" s="40"/>
      <c r="E45" s="54">
        <v>0</v>
      </c>
      <c r="F45" s="54"/>
      <c r="G45" s="166">
        <v>0</v>
      </c>
      <c r="I45" s="138"/>
      <c r="J45" s="138"/>
      <c r="K45" s="138"/>
      <c r="L45" s="138"/>
    </row>
    <row r="46" spans="1:14" x14ac:dyDescent="0.35">
      <c r="A46" s="139"/>
      <c r="B46" s="167" t="s">
        <v>65</v>
      </c>
      <c r="C46" s="167"/>
      <c r="D46" s="158"/>
      <c r="E46" s="159">
        <f>SUM(E44:E45)</f>
        <v>0</v>
      </c>
      <c r="F46" s="159"/>
      <c r="G46" s="159">
        <f>SUM(G44:G45)</f>
        <v>0</v>
      </c>
      <c r="I46" s="138"/>
      <c r="J46" s="138"/>
      <c r="K46" s="138"/>
      <c r="L46" s="138"/>
    </row>
    <row r="47" spans="1:14" x14ac:dyDescent="0.35">
      <c r="A47" s="139"/>
      <c r="B47" s="40"/>
      <c r="C47" s="40"/>
      <c r="E47" s="54"/>
      <c r="F47" s="54"/>
      <c r="G47" s="154"/>
      <c r="I47" s="138"/>
      <c r="J47" s="138"/>
      <c r="K47" s="138"/>
      <c r="L47" s="138"/>
    </row>
    <row r="48" spans="1:14" x14ac:dyDescent="0.35">
      <c r="A48" s="139"/>
      <c r="B48" s="41" t="s">
        <v>4</v>
      </c>
      <c r="C48" s="41"/>
      <c r="E48" s="54"/>
      <c r="F48" s="54"/>
      <c r="G48" s="154"/>
      <c r="I48" s="138"/>
      <c r="J48" s="138"/>
      <c r="K48" s="138"/>
      <c r="L48" s="138"/>
    </row>
    <row r="49" spans="1:12" x14ac:dyDescent="0.35">
      <c r="A49" s="139"/>
      <c r="B49" s="40" t="s">
        <v>47</v>
      </c>
      <c r="C49" s="40"/>
      <c r="E49" s="54">
        <v>23200.15</v>
      </c>
      <c r="F49" s="54"/>
      <c r="G49" s="54">
        <v>25133.75</v>
      </c>
      <c r="I49" s="138"/>
      <c r="J49" s="138"/>
      <c r="K49" s="138"/>
      <c r="L49" s="138"/>
    </row>
    <row r="50" spans="1:12" x14ac:dyDescent="0.35">
      <c r="A50" s="139"/>
      <c r="B50" s="40" t="s">
        <v>48</v>
      </c>
      <c r="C50" s="40"/>
      <c r="E50" s="54">
        <v>0</v>
      </c>
      <c r="F50" s="54"/>
      <c r="G50" s="54">
        <v>0</v>
      </c>
      <c r="I50" s="138"/>
      <c r="J50" s="138"/>
      <c r="K50" s="138"/>
      <c r="L50" s="138"/>
    </row>
    <row r="51" spans="1:12" x14ac:dyDescent="0.35">
      <c r="A51" s="139"/>
      <c r="B51" s="40" t="s">
        <v>5</v>
      </c>
      <c r="C51" s="40"/>
      <c r="E51" s="54">
        <v>36000</v>
      </c>
      <c r="F51" s="54"/>
      <c r="G51" s="54">
        <v>0</v>
      </c>
    </row>
    <row r="52" spans="1:12" x14ac:dyDescent="0.35">
      <c r="A52" s="139"/>
      <c r="B52" s="167" t="s">
        <v>6</v>
      </c>
      <c r="C52" s="167"/>
      <c r="D52" s="158"/>
      <c r="E52" s="159">
        <f>SUM(E49:E51)</f>
        <v>59200.15</v>
      </c>
      <c r="F52" s="159"/>
      <c r="G52" s="159">
        <f>SUM(G49:G51)</f>
        <v>25133.75</v>
      </c>
    </row>
    <row r="53" spans="1:12" x14ac:dyDescent="0.35">
      <c r="A53" s="139"/>
      <c r="B53" s="40"/>
      <c r="C53" s="40"/>
      <c r="D53" s="182"/>
      <c r="E53" s="54"/>
      <c r="F53" s="54"/>
      <c r="G53" s="54"/>
    </row>
    <row r="54" spans="1:12" ht="15" thickBot="1" x14ac:dyDescent="0.4">
      <c r="A54" s="139"/>
      <c r="B54" s="162" t="s">
        <v>7</v>
      </c>
      <c r="C54" s="162"/>
      <c r="D54" s="183"/>
      <c r="E54" s="164">
        <f>+E46+E52</f>
        <v>59200.15</v>
      </c>
      <c r="F54" s="164"/>
      <c r="G54" s="164">
        <f>+G46+G52</f>
        <v>25133.75</v>
      </c>
    </row>
    <row r="55" spans="1:12" x14ac:dyDescent="0.35">
      <c r="A55" s="139"/>
      <c r="E55" s="54"/>
      <c r="F55" s="138"/>
      <c r="G55" s="54"/>
    </row>
    <row r="56" spans="1:12" x14ac:dyDescent="0.35">
      <c r="A56" s="139"/>
      <c r="E56" s="54"/>
      <c r="F56" s="138"/>
      <c r="G56" s="54"/>
    </row>
    <row r="57" spans="1:12" ht="15" thickBot="1" x14ac:dyDescent="0.4">
      <c r="A57" s="139"/>
      <c r="B57" s="169" t="s">
        <v>49</v>
      </c>
      <c r="C57" s="169"/>
      <c r="D57" s="184"/>
      <c r="E57" s="171">
        <f>E40+E54</f>
        <v>4074176.15</v>
      </c>
      <c r="F57" s="185"/>
      <c r="G57" s="171">
        <f>G40+G54</f>
        <v>4464814.78</v>
      </c>
      <c r="I57" s="138"/>
    </row>
    <row r="58" spans="1:12" ht="15" thickTop="1" x14ac:dyDescent="0.35">
      <c r="A58" s="139"/>
      <c r="B58" s="150"/>
      <c r="C58" s="150"/>
      <c r="D58" s="149"/>
      <c r="E58" s="168"/>
      <c r="F58" s="138"/>
      <c r="G58" s="168"/>
    </row>
    <row r="59" spans="1:12" x14ac:dyDescent="0.35">
      <c r="B59" s="210" t="s">
        <v>154</v>
      </c>
      <c r="C59" s="156"/>
      <c r="D59" s="156"/>
      <c r="E59" s="156"/>
      <c r="F59" s="156"/>
      <c r="G59" s="156"/>
      <c r="H59" s="156"/>
    </row>
    <row r="60" spans="1:12" x14ac:dyDescent="0.35">
      <c r="B60" s="186"/>
      <c r="C60" s="186"/>
      <c r="D60" s="156"/>
      <c r="E60" s="186"/>
      <c r="F60" s="186"/>
      <c r="G60" s="186"/>
      <c r="H60" s="186"/>
    </row>
    <row r="61" spans="1:12" x14ac:dyDescent="0.35">
      <c r="B61" s="186"/>
      <c r="C61" s="186"/>
      <c r="D61" s="156"/>
      <c r="E61" s="186"/>
      <c r="F61" s="186"/>
      <c r="G61" s="186"/>
      <c r="H61" s="186"/>
    </row>
    <row r="62" spans="1:12" x14ac:dyDescent="0.35">
      <c r="B62" s="186"/>
      <c r="C62" s="186"/>
      <c r="D62" s="156"/>
      <c r="E62" s="186"/>
      <c r="F62" s="186"/>
      <c r="G62" s="186"/>
      <c r="H62" s="186"/>
    </row>
  </sheetData>
  <mergeCells count="1">
    <mergeCell ref="B1:G1"/>
  </mergeCells>
  <pageMargins left="0.70866141732283472" right="0.70866141732283472" top="0.74803149606299213" bottom="0.19685039370078741" header="0.31496062992125984" footer="0.31496062992125984"/>
  <pageSetup paperSize="9" orientation="portrait" r:id="rId1"/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O194"/>
  <sheetViews>
    <sheetView showGridLines="0" topLeftCell="A98" zoomScale="85" zoomScaleNormal="85" zoomScaleSheetLayoutView="85" workbookViewId="0">
      <selection activeCell="N80" sqref="N80"/>
    </sheetView>
  </sheetViews>
  <sheetFormatPr baseColWidth="10" defaultColWidth="9.1796875" defaultRowHeight="13" x14ac:dyDescent="0.3"/>
  <cols>
    <col min="1" max="1" width="8.6328125" style="5" customWidth="1"/>
    <col min="2" max="2" width="7.453125" style="5" customWidth="1"/>
    <col min="3" max="3" width="17.1796875" style="5" customWidth="1"/>
    <col min="4" max="4" width="11.36328125" style="5" customWidth="1"/>
    <col min="5" max="5" width="11.81640625" style="5" customWidth="1"/>
    <col min="6" max="7" width="11.453125" style="5" customWidth="1"/>
    <col min="8" max="8" width="12.453125" style="5" customWidth="1"/>
    <col min="9" max="9" width="11.36328125" style="5" customWidth="1"/>
    <col min="10" max="10" width="9.6328125" style="5" customWidth="1"/>
    <col min="11" max="14" width="9.1796875" style="5"/>
    <col min="15" max="15" width="10.36328125" style="5" bestFit="1" customWidth="1"/>
    <col min="16" max="16" width="9.81640625" style="5" bestFit="1" customWidth="1"/>
    <col min="17" max="16384" width="9.1796875" style="5"/>
  </cols>
  <sheetData>
    <row r="1" spans="1:8" ht="23.5" x14ac:dyDescent="0.55000000000000004">
      <c r="A1" s="232" t="str">
        <f>+Forside!B12</f>
        <v>Kråkstad Idrettslag</v>
      </c>
      <c r="B1" s="232"/>
      <c r="C1" s="232"/>
      <c r="D1" s="232"/>
      <c r="E1" s="232"/>
      <c r="F1" s="232"/>
      <c r="G1" s="232"/>
      <c r="H1" s="232"/>
    </row>
    <row r="2" spans="1:8" ht="12.75" customHeight="1" x14ac:dyDescent="0.55000000000000004">
      <c r="A2" s="197"/>
      <c r="D2" s="37"/>
      <c r="E2" s="38"/>
    </row>
    <row r="3" spans="1:8" ht="23.25" customHeight="1" x14ac:dyDescent="0.5">
      <c r="A3" s="233" t="s">
        <v>77</v>
      </c>
      <c r="B3" s="233"/>
      <c r="C3" s="233"/>
      <c r="D3" s="233"/>
      <c r="E3" s="233"/>
      <c r="F3" s="233"/>
      <c r="G3" s="233"/>
      <c r="H3" s="233"/>
    </row>
    <row r="4" spans="1:8" x14ac:dyDescent="0.3">
      <c r="E4" s="7"/>
    </row>
    <row r="5" spans="1:8" ht="12.75" customHeight="1" x14ac:dyDescent="0.3"/>
    <row r="6" spans="1:8" ht="14.5" x14ac:dyDescent="0.35">
      <c r="A6" s="39" t="s">
        <v>53</v>
      </c>
      <c r="B6" s="39" t="s">
        <v>16</v>
      </c>
    </row>
    <row r="7" spans="1:8" x14ac:dyDescent="0.3">
      <c r="B7" s="40" t="s">
        <v>95</v>
      </c>
    </row>
    <row r="8" spans="1:8" x14ac:dyDescent="0.3">
      <c r="B8" s="40" t="s">
        <v>94</v>
      </c>
    </row>
    <row r="9" spans="1:8" x14ac:dyDescent="0.3">
      <c r="B9" s="40"/>
    </row>
    <row r="10" spans="1:8" x14ac:dyDescent="0.3">
      <c r="B10" s="41" t="s">
        <v>68</v>
      </c>
    </row>
    <row r="11" spans="1:8" x14ac:dyDescent="0.3">
      <c r="B11" s="40" t="s">
        <v>88</v>
      </c>
    </row>
    <row r="12" spans="1:8" x14ac:dyDescent="0.3">
      <c r="B12" s="40" t="s">
        <v>89</v>
      </c>
    </row>
    <row r="13" spans="1:8" x14ac:dyDescent="0.3">
      <c r="B13" s="41"/>
    </row>
    <row r="14" spans="1:8" x14ac:dyDescent="0.3">
      <c r="B14" s="40" t="s">
        <v>96</v>
      </c>
    </row>
    <row r="15" spans="1:8" x14ac:dyDescent="0.3">
      <c r="B15" s="40" t="s">
        <v>98</v>
      </c>
    </row>
    <row r="16" spans="1:8" x14ac:dyDescent="0.3">
      <c r="B16" s="40" t="s">
        <v>97</v>
      </c>
    </row>
    <row r="17" spans="2:7" x14ac:dyDescent="0.3">
      <c r="B17" s="40"/>
    </row>
    <row r="18" spans="2:7" x14ac:dyDescent="0.3">
      <c r="B18" s="40" t="s">
        <v>86</v>
      </c>
    </row>
    <row r="19" spans="2:7" x14ac:dyDescent="0.3">
      <c r="B19" s="40" t="s">
        <v>90</v>
      </c>
    </row>
    <row r="20" spans="2:7" x14ac:dyDescent="0.3">
      <c r="B20" s="5" t="s">
        <v>91</v>
      </c>
    </row>
    <row r="21" spans="2:7" x14ac:dyDescent="0.3">
      <c r="B21" s="40" t="s">
        <v>100</v>
      </c>
    </row>
    <row r="22" spans="2:7" x14ac:dyDescent="0.3">
      <c r="B22" s="40" t="s">
        <v>99</v>
      </c>
    </row>
    <row r="23" spans="2:7" x14ac:dyDescent="0.3">
      <c r="B23" s="40" t="s">
        <v>87</v>
      </c>
    </row>
    <row r="24" spans="2:7" x14ac:dyDescent="0.3">
      <c r="B24" s="40" t="s">
        <v>75</v>
      </c>
    </row>
    <row r="25" spans="2:7" x14ac:dyDescent="0.3">
      <c r="B25" s="40"/>
    </row>
    <row r="26" spans="2:7" x14ac:dyDescent="0.3">
      <c r="B26" s="41" t="s">
        <v>69</v>
      </c>
      <c r="C26" s="36"/>
      <c r="D26" s="36"/>
      <c r="E26" s="36"/>
      <c r="F26" s="36"/>
      <c r="G26" s="36"/>
    </row>
    <row r="27" spans="2:7" x14ac:dyDescent="0.3">
      <c r="B27" s="40" t="s">
        <v>70</v>
      </c>
      <c r="C27" s="36"/>
      <c r="D27" s="36"/>
      <c r="E27" s="36"/>
      <c r="F27" s="36"/>
      <c r="G27" s="36"/>
    </row>
    <row r="28" spans="2:7" x14ac:dyDescent="0.3">
      <c r="B28" s="40"/>
    </row>
    <row r="29" spans="2:7" x14ac:dyDescent="0.3">
      <c r="B29" s="42" t="s">
        <v>22</v>
      </c>
    </row>
    <row r="30" spans="2:7" x14ac:dyDescent="0.3">
      <c r="B30" s="43" t="s">
        <v>23</v>
      </c>
    </row>
    <row r="31" spans="2:7" x14ac:dyDescent="0.3">
      <c r="B31" s="43" t="s">
        <v>24</v>
      </c>
    </row>
    <row r="32" spans="2:7" x14ac:dyDescent="0.3">
      <c r="B32" s="43"/>
    </row>
    <row r="33" spans="1:10" x14ac:dyDescent="0.3">
      <c r="B33" s="42" t="s">
        <v>43</v>
      </c>
      <c r="I33" s="36"/>
      <c r="J33" s="36"/>
    </row>
    <row r="34" spans="1:10" x14ac:dyDescent="0.3">
      <c r="B34" s="43" t="s">
        <v>102</v>
      </c>
      <c r="I34" s="36"/>
      <c r="J34" s="36"/>
    </row>
    <row r="35" spans="1:10" x14ac:dyDescent="0.3">
      <c r="B35" s="43" t="s">
        <v>101</v>
      </c>
      <c r="I35" s="36"/>
      <c r="J35" s="36"/>
    </row>
    <row r="36" spans="1:10" x14ac:dyDescent="0.3">
      <c r="B36" s="43"/>
      <c r="I36" s="36"/>
      <c r="J36" s="36"/>
    </row>
    <row r="37" spans="1:10" x14ac:dyDescent="0.3">
      <c r="B37" s="42" t="s">
        <v>71</v>
      </c>
      <c r="I37" s="36"/>
      <c r="J37" s="36"/>
    </row>
    <row r="38" spans="1:10" x14ac:dyDescent="0.3">
      <c r="B38" s="43" t="s">
        <v>67</v>
      </c>
      <c r="I38" s="36"/>
      <c r="J38" s="36"/>
    </row>
    <row r="39" spans="1:10" x14ac:dyDescent="0.3">
      <c r="B39" s="44" t="s">
        <v>27</v>
      </c>
    </row>
    <row r="40" spans="1:10" x14ac:dyDescent="0.3">
      <c r="B40" s="43" t="s">
        <v>25</v>
      </c>
    </row>
    <row r="41" spans="1:10" x14ac:dyDescent="0.3">
      <c r="B41" s="43" t="s">
        <v>26</v>
      </c>
    </row>
    <row r="42" spans="1:10" x14ac:dyDescent="0.3">
      <c r="B42" s="43"/>
    </row>
    <row r="43" spans="1:10" x14ac:dyDescent="0.3">
      <c r="B43" s="42" t="s">
        <v>17</v>
      </c>
    </row>
    <row r="44" spans="1:10" x14ac:dyDescent="0.3">
      <c r="B44" s="40" t="s">
        <v>66</v>
      </c>
    </row>
    <row r="45" spans="1:10" x14ac:dyDescent="0.3">
      <c r="B45" s="40" t="s">
        <v>93</v>
      </c>
    </row>
    <row r="46" spans="1:10" x14ac:dyDescent="0.3">
      <c r="B46" s="5" t="s">
        <v>92</v>
      </c>
    </row>
    <row r="48" spans="1:10" s="36" customFormat="1" ht="14.5" x14ac:dyDescent="0.35">
      <c r="A48" s="129" t="s">
        <v>54</v>
      </c>
      <c r="B48" s="130" t="s">
        <v>103</v>
      </c>
      <c r="C48" s="58"/>
      <c r="D48" s="58"/>
      <c r="E48" s="58"/>
      <c r="F48" s="58"/>
      <c r="G48" s="58"/>
    </row>
    <row r="49" spans="1:7" s="36" customFormat="1" x14ac:dyDescent="0.3">
      <c r="B49" s="131" t="s">
        <v>19</v>
      </c>
      <c r="C49" s="131"/>
      <c r="D49" s="131"/>
      <c r="E49" s="131"/>
      <c r="F49" s="201">
        <f>F63</f>
        <v>2019</v>
      </c>
      <c r="G49" s="201">
        <v>2018</v>
      </c>
    </row>
    <row r="50" spans="1:7" s="36" customFormat="1" x14ac:dyDescent="0.3">
      <c r="B50" s="58" t="s">
        <v>120</v>
      </c>
      <c r="C50" s="58"/>
      <c r="D50" s="58"/>
      <c r="E50" s="58"/>
      <c r="F50" s="203">
        <v>31700</v>
      </c>
      <c r="G50" s="203">
        <v>43100</v>
      </c>
    </row>
    <row r="51" spans="1:7" s="36" customFormat="1" x14ac:dyDescent="0.3">
      <c r="B51" s="58" t="s">
        <v>198</v>
      </c>
      <c r="C51" s="58"/>
      <c r="D51" s="58"/>
      <c r="E51" s="58"/>
      <c r="F51" s="203">
        <v>50000</v>
      </c>
      <c r="G51" s="203">
        <v>0</v>
      </c>
    </row>
    <row r="52" spans="1:7" s="36" customFormat="1" x14ac:dyDescent="0.3">
      <c r="B52" s="58" t="s">
        <v>155</v>
      </c>
      <c r="C52" s="58"/>
      <c r="D52" s="58"/>
      <c r="E52" s="58"/>
      <c r="F52" s="203">
        <v>31200</v>
      </c>
      <c r="G52" s="203">
        <v>38400</v>
      </c>
    </row>
    <row r="53" spans="1:7" s="36" customFormat="1" x14ac:dyDescent="0.3">
      <c r="B53" s="58" t="s">
        <v>200</v>
      </c>
      <c r="C53" s="58"/>
      <c r="D53" s="58"/>
      <c r="E53" s="58"/>
      <c r="F53" s="203"/>
      <c r="G53" s="203">
        <v>100000</v>
      </c>
    </row>
    <row r="54" spans="1:7" s="36" customFormat="1" x14ac:dyDescent="0.3">
      <c r="B54" s="58" t="s">
        <v>199</v>
      </c>
      <c r="C54" s="58"/>
      <c r="D54" s="58"/>
      <c r="E54" s="58"/>
      <c r="F54" s="203">
        <v>28890.81</v>
      </c>
      <c r="G54" s="203">
        <v>0</v>
      </c>
    </row>
    <row r="55" spans="1:7" s="36" customFormat="1" x14ac:dyDescent="0.3">
      <c r="B55" s="58" t="s">
        <v>156</v>
      </c>
      <c r="C55" s="58"/>
      <c r="D55" s="58"/>
      <c r="E55" s="58"/>
      <c r="F55" s="203"/>
      <c r="G55" s="203">
        <v>15000</v>
      </c>
    </row>
    <row r="56" spans="1:7" s="36" customFormat="1" x14ac:dyDescent="0.3">
      <c r="B56" s="58" t="s">
        <v>122</v>
      </c>
      <c r="C56" s="58"/>
      <c r="D56" s="58"/>
      <c r="E56" s="58"/>
      <c r="F56" s="203">
        <v>55000</v>
      </c>
      <c r="G56" s="203">
        <v>55000</v>
      </c>
    </row>
    <row r="57" spans="1:7" s="36" customFormat="1" x14ac:dyDescent="0.3">
      <c r="B57" s="58" t="s">
        <v>123</v>
      </c>
      <c r="C57" s="58"/>
      <c r="D57" s="58"/>
      <c r="E57" s="58"/>
      <c r="F57" s="203">
        <v>10857</v>
      </c>
      <c r="G57" s="203">
        <v>30524</v>
      </c>
    </row>
    <row r="58" spans="1:7" s="36" customFormat="1" x14ac:dyDescent="0.3">
      <c r="B58" s="132" t="s">
        <v>121</v>
      </c>
      <c r="F58" s="204">
        <f>7839+127589+34936+3017+22351+1500</f>
        <v>197232</v>
      </c>
      <c r="G58" s="204">
        <v>182691</v>
      </c>
    </row>
    <row r="59" spans="1:7" s="36" customFormat="1" x14ac:dyDescent="0.3">
      <c r="B59" s="133" t="s">
        <v>11</v>
      </c>
      <c r="C59" s="134"/>
      <c r="D59" s="134"/>
      <c r="E59" s="134"/>
      <c r="F59" s="202">
        <f>SUM(F50:F58)</f>
        <v>404879.81</v>
      </c>
      <c r="G59" s="202">
        <f>SUM(G50:G58)</f>
        <v>464715</v>
      </c>
    </row>
    <row r="60" spans="1:7" x14ac:dyDescent="0.3">
      <c r="G60" s="24"/>
    </row>
    <row r="61" spans="1:7" x14ac:dyDescent="0.3">
      <c r="G61" s="24"/>
    </row>
    <row r="62" spans="1:7" ht="14.5" x14ac:dyDescent="0.35">
      <c r="A62" s="39" t="s">
        <v>55</v>
      </c>
      <c r="B62" s="45" t="s">
        <v>30</v>
      </c>
      <c r="C62" s="24"/>
      <c r="D62" s="24"/>
      <c r="E62" s="24"/>
      <c r="F62" s="24"/>
      <c r="G62" s="24"/>
    </row>
    <row r="63" spans="1:7" x14ac:dyDescent="0.3">
      <c r="B63" s="46" t="s">
        <v>19</v>
      </c>
      <c r="C63" s="46"/>
      <c r="D63" s="46"/>
      <c r="E63" s="46"/>
      <c r="F63" s="205">
        <f>+Resultat!C6</f>
        <v>2019</v>
      </c>
      <c r="G63" s="205">
        <f>+Resultat!D6</f>
        <v>2018</v>
      </c>
    </row>
    <row r="64" spans="1:7" x14ac:dyDescent="0.3">
      <c r="B64" s="44" t="s">
        <v>124</v>
      </c>
      <c r="F64" s="47">
        <v>150000</v>
      </c>
      <c r="G64" s="47">
        <v>150000</v>
      </c>
    </row>
    <row r="65" spans="1:20" x14ac:dyDescent="0.3">
      <c r="B65" s="44" t="s">
        <v>125</v>
      </c>
      <c r="F65" s="47">
        <v>9485</v>
      </c>
      <c r="G65" s="47">
        <v>11080</v>
      </c>
    </row>
    <row r="66" spans="1:20" x14ac:dyDescent="0.3">
      <c r="B66" s="43" t="s">
        <v>126</v>
      </c>
      <c r="F66" s="47">
        <v>78649</v>
      </c>
      <c r="G66" s="47">
        <v>72191.3</v>
      </c>
      <c r="I66" s="6"/>
    </row>
    <row r="67" spans="1:20" x14ac:dyDescent="0.3">
      <c r="B67" s="43" t="s">
        <v>127</v>
      </c>
      <c r="F67" s="47">
        <v>2020</v>
      </c>
      <c r="G67" s="47">
        <v>2000</v>
      </c>
    </row>
    <row r="68" spans="1:20" x14ac:dyDescent="0.3">
      <c r="B68" s="43" t="s">
        <v>128</v>
      </c>
      <c r="F68" s="47">
        <v>73869</v>
      </c>
      <c r="G68" s="47">
        <v>55658.8</v>
      </c>
    </row>
    <row r="69" spans="1:20" x14ac:dyDescent="0.3">
      <c r="B69" s="43" t="s">
        <v>129</v>
      </c>
      <c r="F69" s="47">
        <v>132306</v>
      </c>
      <c r="G69" s="47">
        <v>89825</v>
      </c>
    </row>
    <row r="70" spans="1:20" x14ac:dyDescent="0.3">
      <c r="B70" s="48" t="s">
        <v>11</v>
      </c>
      <c r="C70" s="49"/>
      <c r="D70" s="49"/>
      <c r="E70" s="49"/>
      <c r="F70" s="14">
        <f>SUM(F64:F69)</f>
        <v>446329</v>
      </c>
      <c r="G70" s="14">
        <f>SUM(G64:G69)</f>
        <v>380755.1</v>
      </c>
    </row>
    <row r="71" spans="1:20" x14ac:dyDescent="0.3">
      <c r="B71" s="21"/>
      <c r="C71" s="24"/>
      <c r="D71" s="24"/>
      <c r="E71" s="24"/>
      <c r="F71" s="50"/>
      <c r="G71" s="50"/>
    </row>
    <row r="72" spans="1:20" x14ac:dyDescent="0.3">
      <c r="B72" s="11"/>
      <c r="G72" s="50"/>
      <c r="H72" s="50"/>
    </row>
    <row r="73" spans="1:20" ht="14.5" x14ac:dyDescent="0.35">
      <c r="A73" s="39" t="s">
        <v>56</v>
      </c>
      <c r="B73" s="39" t="s">
        <v>9</v>
      </c>
      <c r="G73" s="50"/>
      <c r="H73" s="50"/>
    </row>
    <row r="74" spans="1:20" x14ac:dyDescent="0.3">
      <c r="B74" s="51" t="s">
        <v>19</v>
      </c>
      <c r="C74" s="52"/>
      <c r="D74" s="51"/>
      <c r="E74" s="51"/>
      <c r="F74" s="206">
        <f>+F63</f>
        <v>2019</v>
      </c>
      <c r="G74" s="206">
        <f>+G63</f>
        <v>2018</v>
      </c>
      <c r="H74" s="50"/>
    </row>
    <row r="75" spans="1:20" x14ac:dyDescent="0.3">
      <c r="B75" s="44" t="s">
        <v>130</v>
      </c>
      <c r="C75" s="44"/>
      <c r="D75" s="44"/>
      <c r="E75" s="43"/>
      <c r="F75" s="47">
        <v>100150</v>
      </c>
      <c r="G75" s="47">
        <v>141100</v>
      </c>
      <c r="H75" s="50"/>
    </row>
    <row r="76" spans="1:20" x14ac:dyDescent="0.3">
      <c r="B76" s="44" t="s">
        <v>131</v>
      </c>
      <c r="C76" s="44"/>
      <c r="D76" s="44"/>
      <c r="E76" s="43"/>
      <c r="F76" s="47">
        <v>108225</v>
      </c>
      <c r="G76" s="47">
        <v>137250</v>
      </c>
      <c r="H76" s="50"/>
    </row>
    <row r="77" spans="1:20" x14ac:dyDescent="0.3">
      <c r="B77" s="43" t="s">
        <v>132</v>
      </c>
      <c r="C77" s="53"/>
      <c r="D77" s="43"/>
      <c r="E77" s="43"/>
      <c r="F77" s="47">
        <v>77400</v>
      </c>
      <c r="G77" s="47">
        <v>97800</v>
      </c>
      <c r="H77" s="50"/>
    </row>
    <row r="78" spans="1:20" x14ac:dyDescent="0.3">
      <c r="B78" s="43" t="s">
        <v>107</v>
      </c>
      <c r="C78" s="53"/>
      <c r="D78" s="43"/>
      <c r="E78" s="43"/>
      <c r="F78" s="47">
        <v>33090</v>
      </c>
      <c r="G78" s="47">
        <v>47638</v>
      </c>
      <c r="H78" s="50"/>
    </row>
    <row r="79" spans="1:20" ht="15.75" customHeight="1" x14ac:dyDescent="0.3">
      <c r="B79" s="55" t="s">
        <v>11</v>
      </c>
      <c r="C79" s="56"/>
      <c r="D79" s="55"/>
      <c r="E79" s="55"/>
      <c r="F79" s="57">
        <f>SUM(F75:F78)</f>
        <v>318865</v>
      </c>
      <c r="G79" s="57">
        <f>SUM(G75:G78)</f>
        <v>423788</v>
      </c>
      <c r="H79" s="23"/>
      <c r="I79" s="6"/>
      <c r="K79" s="43"/>
      <c r="L79" s="43"/>
      <c r="M79" s="43"/>
      <c r="N79" s="43"/>
      <c r="O79" s="43"/>
      <c r="P79" s="43"/>
      <c r="Q79" s="43"/>
      <c r="R79" s="43"/>
      <c r="S79" s="43"/>
      <c r="T79" s="43"/>
    </row>
    <row r="80" spans="1:20" x14ac:dyDescent="0.3">
      <c r="F80" s="6"/>
      <c r="G80" s="23"/>
      <c r="K80" s="43"/>
      <c r="L80" s="43"/>
      <c r="M80" s="43"/>
      <c r="N80" s="43"/>
      <c r="O80" s="43"/>
      <c r="P80" s="43"/>
      <c r="Q80" s="43"/>
      <c r="R80" s="43"/>
      <c r="S80" s="43"/>
      <c r="T80" s="43"/>
    </row>
    <row r="81" spans="1:20" x14ac:dyDescent="0.3">
      <c r="F81" s="6"/>
      <c r="G81" s="6"/>
      <c r="K81" s="43"/>
      <c r="L81" s="43"/>
      <c r="M81" s="43"/>
      <c r="N81" s="43"/>
      <c r="O81" s="43"/>
      <c r="P81" s="43"/>
      <c r="Q81" s="43"/>
      <c r="R81" s="43"/>
      <c r="S81" s="43"/>
      <c r="T81" s="43"/>
    </row>
    <row r="82" spans="1:20" ht="14.5" x14ac:dyDescent="0.35">
      <c r="A82" s="39" t="s">
        <v>57</v>
      </c>
      <c r="B82" s="39" t="s">
        <v>115</v>
      </c>
      <c r="G82" s="6"/>
      <c r="K82" s="43"/>
      <c r="L82" s="43"/>
      <c r="M82" s="43"/>
      <c r="N82" s="43"/>
      <c r="O82" s="43"/>
      <c r="P82" s="43"/>
      <c r="Q82" s="43"/>
      <c r="R82" s="43"/>
      <c r="S82" s="43"/>
      <c r="T82" s="43"/>
    </row>
    <row r="83" spans="1:20" ht="14.5" x14ac:dyDescent="0.35">
      <c r="A83" s="39"/>
      <c r="B83" s="43" t="s">
        <v>116</v>
      </c>
      <c r="G83" s="6"/>
      <c r="K83" s="43"/>
      <c r="L83" s="43"/>
      <c r="M83" s="43"/>
      <c r="N83" s="43"/>
      <c r="O83" s="43"/>
      <c r="P83" s="43"/>
      <c r="Q83" s="43"/>
      <c r="R83" s="43"/>
      <c r="S83" s="43"/>
      <c r="T83" s="43"/>
    </row>
    <row r="84" spans="1:20" ht="14.5" x14ac:dyDescent="0.35">
      <c r="A84" s="39"/>
      <c r="B84" s="51" t="s">
        <v>117</v>
      </c>
      <c r="C84" s="46"/>
      <c r="D84" s="46"/>
      <c r="E84" s="46"/>
      <c r="F84" s="206">
        <f>F74</f>
        <v>2019</v>
      </c>
      <c r="G84" s="206">
        <f>G74</f>
        <v>2018</v>
      </c>
      <c r="K84" s="43"/>
      <c r="L84" s="43"/>
      <c r="M84" s="43"/>
      <c r="N84" s="43"/>
      <c r="O84" s="43"/>
      <c r="P84" s="43"/>
      <c r="Q84" s="43"/>
      <c r="R84" s="43"/>
      <c r="S84" s="43"/>
      <c r="T84" s="43"/>
    </row>
    <row r="85" spans="1:20" ht="14.5" x14ac:dyDescent="0.35">
      <c r="A85" s="39"/>
      <c r="B85" s="43" t="s">
        <v>133</v>
      </c>
      <c r="F85" s="6">
        <v>52225</v>
      </c>
      <c r="G85" s="6">
        <v>36630</v>
      </c>
      <c r="K85" s="43"/>
      <c r="L85" s="43"/>
      <c r="M85" s="43"/>
      <c r="N85" s="43"/>
      <c r="O85" s="43"/>
      <c r="P85" s="43"/>
      <c r="Q85" s="43"/>
      <c r="R85" s="43"/>
      <c r="S85" s="43"/>
      <c r="T85" s="43"/>
    </row>
    <row r="86" spans="1:20" ht="14.5" x14ac:dyDescent="0.35">
      <c r="A86" s="39"/>
      <c r="B86" s="43" t="s">
        <v>201</v>
      </c>
      <c r="F86" s="6">
        <v>36000</v>
      </c>
      <c r="G86" s="6">
        <v>100000</v>
      </c>
      <c r="K86" s="43"/>
      <c r="L86" s="43"/>
      <c r="M86" s="43"/>
      <c r="N86" s="43"/>
      <c r="O86" s="43"/>
      <c r="P86" s="43"/>
      <c r="Q86" s="43"/>
      <c r="R86" s="43"/>
      <c r="S86" s="43"/>
      <c r="T86" s="43"/>
    </row>
    <row r="87" spans="1:20" ht="14.5" x14ac:dyDescent="0.35">
      <c r="A87" s="39"/>
      <c r="B87" s="43" t="s">
        <v>134</v>
      </c>
      <c r="F87" s="6">
        <v>83069</v>
      </c>
      <c r="G87" s="6">
        <v>95984</v>
      </c>
      <c r="K87" s="43"/>
      <c r="L87" s="43"/>
      <c r="M87" s="43"/>
      <c r="N87" s="43"/>
      <c r="O87" s="43"/>
      <c r="P87" s="43"/>
      <c r="Q87" s="43"/>
      <c r="R87" s="43"/>
      <c r="S87" s="43"/>
      <c r="T87" s="43"/>
    </row>
    <row r="88" spans="1:20" ht="14.5" x14ac:dyDescent="0.35">
      <c r="A88" s="39"/>
      <c r="B88" s="43" t="s">
        <v>135</v>
      </c>
      <c r="F88" s="6">
        <v>29479</v>
      </c>
      <c r="G88" s="6">
        <v>36365</v>
      </c>
      <c r="K88" s="43"/>
      <c r="L88" s="43"/>
      <c r="M88" s="43"/>
      <c r="N88" s="43"/>
      <c r="O88" s="43"/>
      <c r="P88" s="43"/>
      <c r="Q88" s="43"/>
      <c r="R88" s="43"/>
      <c r="S88" s="43"/>
      <c r="T88" s="43"/>
    </row>
    <row r="89" spans="1:20" ht="14.5" x14ac:dyDescent="0.35">
      <c r="A89" s="39"/>
      <c r="B89" s="43" t="s">
        <v>138</v>
      </c>
      <c r="F89" s="6">
        <v>8600</v>
      </c>
      <c r="G89" s="6">
        <v>10000</v>
      </c>
      <c r="K89" s="43"/>
      <c r="L89" s="43"/>
      <c r="M89" s="43"/>
      <c r="N89" s="43"/>
      <c r="O89" s="43"/>
      <c r="P89" s="43"/>
      <c r="Q89" s="43"/>
      <c r="R89" s="43"/>
      <c r="S89" s="43"/>
      <c r="T89" s="43"/>
    </row>
    <row r="90" spans="1:20" ht="14.5" x14ac:dyDescent="0.35">
      <c r="A90" s="39"/>
      <c r="B90" s="43" t="s">
        <v>139</v>
      </c>
      <c r="F90" s="6">
        <v>10000</v>
      </c>
      <c r="G90" s="6">
        <v>10000</v>
      </c>
      <c r="K90" s="43"/>
      <c r="L90" s="43"/>
      <c r="M90" s="43"/>
      <c r="N90" s="43"/>
      <c r="O90" s="43"/>
      <c r="P90" s="43"/>
      <c r="Q90" s="43"/>
      <c r="R90" s="43"/>
      <c r="S90" s="43"/>
      <c r="T90" s="43"/>
    </row>
    <row r="91" spans="1:20" ht="14.5" x14ac:dyDescent="0.35">
      <c r="A91" s="39"/>
      <c r="B91" s="43" t="s">
        <v>140</v>
      </c>
      <c r="F91" s="6">
        <v>10000</v>
      </c>
      <c r="G91" s="6">
        <v>10000</v>
      </c>
      <c r="K91" s="43"/>
      <c r="L91" s="43"/>
      <c r="M91" s="43"/>
      <c r="N91" s="43"/>
      <c r="O91" s="43"/>
      <c r="P91" s="43"/>
      <c r="Q91" s="43"/>
      <c r="R91" s="43"/>
      <c r="S91" s="43"/>
      <c r="T91" s="43"/>
    </row>
    <row r="92" spans="1:20" ht="14.5" x14ac:dyDescent="0.35">
      <c r="A92" s="39"/>
      <c r="B92" s="43" t="s">
        <v>136</v>
      </c>
      <c r="F92" s="6">
        <v>20371</v>
      </c>
      <c r="G92" s="6">
        <v>16664</v>
      </c>
      <c r="K92" s="43"/>
      <c r="L92" s="43"/>
      <c r="M92" s="43"/>
      <c r="N92" s="43"/>
      <c r="O92" s="43"/>
      <c r="P92" s="43"/>
      <c r="Q92" s="43"/>
      <c r="R92" s="43"/>
      <c r="S92" s="43"/>
      <c r="T92" s="43"/>
    </row>
    <row r="93" spans="1:20" ht="14.5" x14ac:dyDescent="0.35">
      <c r="A93" s="39"/>
      <c r="B93" s="43" t="s">
        <v>137</v>
      </c>
      <c r="F93" s="6">
        <v>1310</v>
      </c>
      <c r="G93" s="6">
        <v>1440</v>
      </c>
      <c r="K93" s="43"/>
      <c r="L93" s="43"/>
      <c r="M93" s="43"/>
      <c r="N93" s="43"/>
      <c r="O93" s="43"/>
      <c r="P93" s="43"/>
      <c r="Q93" s="43"/>
      <c r="R93" s="43"/>
      <c r="S93" s="43"/>
      <c r="T93" s="43"/>
    </row>
    <row r="94" spans="1:20" ht="14.5" x14ac:dyDescent="0.35">
      <c r="A94" s="39"/>
      <c r="B94" s="55" t="s">
        <v>11</v>
      </c>
      <c r="C94" s="56"/>
      <c r="D94" s="55"/>
      <c r="E94" s="55"/>
      <c r="F94" s="57">
        <f>SUM(F85:F93)</f>
        <v>251054</v>
      </c>
      <c r="G94" s="57">
        <f>SUM(G85:G93)</f>
        <v>317083</v>
      </c>
      <c r="K94" s="43"/>
      <c r="L94" s="43"/>
      <c r="M94" s="43"/>
      <c r="N94" s="43"/>
      <c r="O94" s="43"/>
      <c r="P94" s="43"/>
      <c r="Q94" s="43"/>
      <c r="R94" s="43"/>
      <c r="S94" s="43"/>
      <c r="T94" s="43"/>
    </row>
    <row r="95" spans="1:20" ht="14.5" x14ac:dyDescent="0.35">
      <c r="A95" s="39"/>
      <c r="B95" s="39"/>
      <c r="G95" s="6"/>
      <c r="K95" s="43"/>
      <c r="L95" s="43"/>
      <c r="M95" s="43"/>
      <c r="N95" s="43"/>
      <c r="O95" s="43"/>
      <c r="P95" s="43"/>
      <c r="Q95" s="43"/>
      <c r="R95" s="43"/>
      <c r="S95" s="43"/>
      <c r="T95" s="43"/>
    </row>
    <row r="96" spans="1:20" x14ac:dyDescent="0.3">
      <c r="A96" s="59"/>
      <c r="B96" s="60"/>
      <c r="C96" s="60"/>
      <c r="D96" s="24"/>
      <c r="E96" s="24"/>
      <c r="F96" s="60"/>
      <c r="G96" s="24"/>
      <c r="H96" s="60"/>
      <c r="I96" s="24"/>
      <c r="K96" s="43"/>
      <c r="L96" s="43"/>
      <c r="M96" s="43"/>
      <c r="N96" s="43"/>
      <c r="O96" s="43"/>
      <c r="P96" s="43"/>
      <c r="Q96" s="43"/>
      <c r="R96" s="43"/>
      <c r="S96" s="43"/>
      <c r="T96" s="43"/>
    </row>
    <row r="97" spans="1:20" x14ac:dyDescent="0.3">
      <c r="A97" s="59"/>
      <c r="B97" s="60"/>
      <c r="C97" s="60"/>
      <c r="D97" s="24"/>
      <c r="E97" s="24"/>
      <c r="F97" s="60"/>
      <c r="G97" s="24"/>
      <c r="H97" s="60"/>
      <c r="I97" s="24"/>
      <c r="K97" s="43"/>
      <c r="L97" s="43"/>
      <c r="M97" s="43"/>
      <c r="N97" s="43"/>
      <c r="O97" s="43"/>
      <c r="P97" s="43"/>
      <c r="Q97" s="43"/>
      <c r="R97" s="43"/>
      <c r="S97" s="43"/>
      <c r="T97" s="43"/>
    </row>
    <row r="98" spans="1:20" ht="14.5" x14ac:dyDescent="0.35">
      <c r="A98" s="39" t="s">
        <v>60</v>
      </c>
      <c r="B98" s="61" t="s">
        <v>15</v>
      </c>
      <c r="C98" s="24"/>
      <c r="D98" s="24"/>
      <c r="E98" s="24"/>
      <c r="F98" s="60"/>
      <c r="G98" s="24"/>
      <c r="H98" s="60"/>
      <c r="I98" s="24"/>
      <c r="K98" s="43"/>
      <c r="L98" s="43"/>
      <c r="M98" s="43"/>
      <c r="N98" s="43"/>
      <c r="O98" s="43"/>
      <c r="P98" s="43"/>
      <c r="Q98" s="43"/>
      <c r="R98" s="43"/>
      <c r="S98" s="43"/>
      <c r="T98" s="43"/>
    </row>
    <row r="99" spans="1:20" ht="14.5" x14ac:dyDescent="0.35">
      <c r="A99" s="39"/>
      <c r="B99" s="51" t="s">
        <v>19</v>
      </c>
      <c r="C99" s="52"/>
      <c r="D99" s="51"/>
      <c r="E99" s="51"/>
      <c r="F99" s="206">
        <f>+F63</f>
        <v>2019</v>
      </c>
      <c r="G99" s="206">
        <f>+G63</f>
        <v>2018</v>
      </c>
      <c r="H99" s="60"/>
      <c r="I99" s="24"/>
      <c r="K99" s="43"/>
      <c r="L99" s="43"/>
      <c r="M99" s="43"/>
      <c r="N99" s="43"/>
      <c r="O99" s="43"/>
      <c r="P99" s="43"/>
      <c r="Q99" s="43"/>
      <c r="R99" s="43"/>
      <c r="S99" s="43"/>
      <c r="T99" s="43"/>
    </row>
    <row r="100" spans="1:20" ht="14.5" x14ac:dyDescent="0.35">
      <c r="A100" s="39"/>
      <c r="B100" s="44" t="s">
        <v>141</v>
      </c>
      <c r="C100" s="44"/>
      <c r="D100" s="44"/>
      <c r="E100" s="43"/>
      <c r="F100" s="47">
        <f>13635+6264</f>
        <v>19899</v>
      </c>
      <c r="G100" s="47">
        <f>10410+22250+2298+46549</f>
        <v>81507</v>
      </c>
      <c r="H100" s="60"/>
      <c r="I100" s="24"/>
      <c r="K100" s="43"/>
      <c r="L100" s="43"/>
      <c r="M100" s="43"/>
      <c r="N100" s="43"/>
      <c r="O100" s="43"/>
      <c r="P100" s="43"/>
      <c r="Q100" s="43"/>
      <c r="R100" s="43"/>
      <c r="S100" s="43"/>
      <c r="T100" s="43"/>
    </row>
    <row r="101" spans="1:20" ht="14.5" x14ac:dyDescent="0.35">
      <c r="A101" s="39"/>
      <c r="B101" s="43" t="s">
        <v>142</v>
      </c>
      <c r="C101" s="53"/>
      <c r="D101" s="43"/>
      <c r="E101" s="43"/>
      <c r="F101" s="47">
        <v>85139</v>
      </c>
      <c r="G101" s="47">
        <v>97724</v>
      </c>
      <c r="H101" s="60"/>
      <c r="I101" s="24"/>
      <c r="K101" s="43"/>
      <c r="L101" s="43"/>
      <c r="M101" s="43"/>
      <c r="N101" s="43"/>
      <c r="O101" s="43"/>
      <c r="P101" s="43"/>
      <c r="Q101" s="43"/>
      <c r="R101" s="43"/>
      <c r="S101" s="43"/>
      <c r="T101" s="43"/>
    </row>
    <row r="102" spans="1:20" ht="14.5" x14ac:dyDescent="0.35">
      <c r="A102" s="39"/>
      <c r="B102" s="43" t="s">
        <v>210</v>
      </c>
      <c r="C102" s="53"/>
      <c r="D102" s="43"/>
      <c r="E102" s="43"/>
      <c r="F102" s="47">
        <f>34417+3410+8460+21476+37836+500+0+24590+5484+320+6157+1020</f>
        <v>143670</v>
      </c>
      <c r="G102" s="47">
        <f>3765+64492+7913+9283+1537+103093+6709+4582+798</f>
        <v>202172</v>
      </c>
      <c r="H102" s="60"/>
      <c r="I102" s="24"/>
      <c r="K102" s="43"/>
      <c r="L102" s="43"/>
      <c r="M102" s="43"/>
      <c r="N102" s="43"/>
      <c r="O102" s="43"/>
      <c r="P102" s="43"/>
      <c r="Q102" s="43"/>
      <c r="R102" s="43"/>
      <c r="S102" s="43"/>
      <c r="T102" s="43"/>
    </row>
    <row r="103" spans="1:20" ht="14.5" x14ac:dyDescent="0.35">
      <c r="A103" s="39"/>
      <c r="B103" s="43" t="s">
        <v>143</v>
      </c>
      <c r="C103" s="53"/>
      <c r="D103" s="43"/>
      <c r="E103" s="43"/>
      <c r="F103" s="47">
        <f>71313+2198</f>
        <v>73511</v>
      </c>
      <c r="G103" s="47">
        <v>104900</v>
      </c>
      <c r="H103" s="60"/>
      <c r="I103" s="24"/>
      <c r="K103" s="43"/>
      <c r="L103" s="43"/>
      <c r="M103" s="43"/>
      <c r="N103" s="43"/>
      <c r="O103" s="43"/>
      <c r="P103" s="43"/>
      <c r="Q103" s="43"/>
      <c r="R103" s="43"/>
      <c r="S103" s="43"/>
      <c r="T103" s="43"/>
    </row>
    <row r="104" spans="1:20" ht="14.5" x14ac:dyDescent="0.35">
      <c r="A104" s="39"/>
      <c r="B104" s="43" t="s">
        <v>144</v>
      </c>
      <c r="C104" s="53"/>
      <c r="D104" s="43"/>
      <c r="E104" s="43"/>
      <c r="F104" s="47">
        <v>0</v>
      </c>
      <c r="G104" s="47">
        <v>23840</v>
      </c>
      <c r="H104" s="60"/>
      <c r="I104" s="24"/>
      <c r="K104" s="43"/>
      <c r="L104" s="43"/>
      <c r="M104" s="43"/>
      <c r="N104" s="43"/>
      <c r="O104" s="43"/>
      <c r="P104" s="43"/>
      <c r="Q104" s="43"/>
      <c r="R104" s="43"/>
      <c r="S104" s="43"/>
      <c r="T104" s="43"/>
    </row>
    <row r="105" spans="1:20" ht="14.5" x14ac:dyDescent="0.35">
      <c r="A105" s="39"/>
      <c r="B105" s="43" t="s">
        <v>145</v>
      </c>
      <c r="C105" s="53"/>
      <c r="D105" s="43"/>
      <c r="E105" s="43"/>
      <c r="F105" s="47">
        <f>15047+31094</f>
        <v>46141</v>
      </c>
      <c r="G105" s="47">
        <f>26493+19299</f>
        <v>45792</v>
      </c>
      <c r="H105" s="60"/>
      <c r="I105" s="24"/>
      <c r="K105" s="43"/>
      <c r="L105" s="43"/>
      <c r="M105" s="43"/>
      <c r="N105" s="43"/>
      <c r="O105" s="43"/>
      <c r="P105" s="43"/>
      <c r="Q105" s="43"/>
      <c r="R105" s="43"/>
      <c r="S105" s="43"/>
      <c r="T105" s="43"/>
    </row>
    <row r="106" spans="1:20" ht="14.5" x14ac:dyDescent="0.35">
      <c r="A106" s="39"/>
      <c r="B106" s="43" t="s">
        <v>146</v>
      </c>
      <c r="C106" s="53"/>
      <c r="D106" s="43"/>
      <c r="E106" s="43"/>
      <c r="F106" s="47">
        <v>2500</v>
      </c>
      <c r="G106" s="47">
        <v>22075</v>
      </c>
      <c r="H106" s="60"/>
      <c r="I106" s="24"/>
      <c r="K106" s="43"/>
      <c r="L106" s="43"/>
      <c r="M106" s="43"/>
      <c r="N106" s="43"/>
      <c r="O106" s="43"/>
      <c r="P106" s="43"/>
      <c r="Q106" s="43"/>
      <c r="R106" s="43"/>
      <c r="S106" s="43"/>
      <c r="T106" s="43"/>
    </row>
    <row r="107" spans="1:20" ht="14.5" x14ac:dyDescent="0.35">
      <c r="A107" s="39"/>
      <c r="B107" s="43" t="s">
        <v>149</v>
      </c>
      <c r="C107" s="53"/>
      <c r="D107" s="43"/>
      <c r="E107" s="43"/>
      <c r="F107" s="47">
        <f>5500+4500</f>
        <v>10000</v>
      </c>
      <c r="G107" s="47">
        <v>18050</v>
      </c>
      <c r="H107" s="60"/>
      <c r="I107" s="24"/>
      <c r="K107" s="43"/>
      <c r="L107" s="43"/>
      <c r="M107" s="43"/>
      <c r="N107" s="43"/>
      <c r="O107" s="43"/>
      <c r="P107" s="43"/>
      <c r="Q107" s="43"/>
      <c r="R107" s="43"/>
      <c r="S107" s="43"/>
      <c r="T107" s="43"/>
    </row>
    <row r="108" spans="1:20" ht="14.5" x14ac:dyDescent="0.35">
      <c r="A108" s="39"/>
      <c r="B108" s="43" t="s">
        <v>147</v>
      </c>
      <c r="C108" s="53"/>
      <c r="D108" s="43"/>
      <c r="E108" s="43"/>
      <c r="F108" s="47">
        <v>45603</v>
      </c>
      <c r="G108" s="47">
        <f>90959+14600</f>
        <v>105559</v>
      </c>
      <c r="H108" s="60"/>
      <c r="I108" s="24"/>
      <c r="K108" s="43"/>
      <c r="L108" s="43"/>
      <c r="M108" s="43"/>
      <c r="N108" s="43"/>
      <c r="O108" s="43"/>
      <c r="P108" s="43"/>
      <c r="Q108" s="43"/>
      <c r="R108" s="43"/>
      <c r="S108" s="43"/>
      <c r="T108" s="43"/>
    </row>
    <row r="109" spans="1:20" ht="14.5" x14ac:dyDescent="0.35">
      <c r="A109" s="39"/>
      <c r="B109" s="43" t="s">
        <v>148</v>
      </c>
      <c r="C109" s="53"/>
      <c r="D109" s="43"/>
      <c r="E109" s="43"/>
      <c r="F109" s="47">
        <v>55432</v>
      </c>
      <c r="G109" s="47">
        <v>68047</v>
      </c>
      <c r="H109" s="60"/>
      <c r="I109" s="24"/>
      <c r="K109" s="43"/>
      <c r="L109" s="43"/>
      <c r="M109" s="43"/>
      <c r="N109" s="43"/>
      <c r="O109" s="43"/>
      <c r="P109" s="43"/>
      <c r="Q109" s="43"/>
      <c r="R109" s="43"/>
      <c r="S109" s="43"/>
      <c r="T109" s="43"/>
    </row>
    <row r="110" spans="1:20" x14ac:dyDescent="0.3">
      <c r="A110" s="59"/>
      <c r="B110" s="43" t="s">
        <v>108</v>
      </c>
      <c r="C110" s="53"/>
      <c r="D110" s="43"/>
      <c r="E110" s="43"/>
      <c r="F110" s="47">
        <v>11658</v>
      </c>
      <c r="G110" s="47">
        <f>19293+18800+70-54</f>
        <v>38109</v>
      </c>
      <c r="H110" s="60"/>
      <c r="I110" s="24"/>
      <c r="K110" s="43"/>
      <c r="L110" s="43"/>
      <c r="M110" s="43"/>
      <c r="N110" s="43"/>
      <c r="O110" s="43"/>
      <c r="P110" s="43"/>
      <c r="Q110" s="43"/>
      <c r="R110" s="43"/>
      <c r="S110" s="43"/>
      <c r="T110" s="43"/>
    </row>
    <row r="111" spans="1:20" x14ac:dyDescent="0.3">
      <c r="A111" s="59"/>
      <c r="B111" s="55" t="s">
        <v>11</v>
      </c>
      <c r="C111" s="56"/>
      <c r="D111" s="55"/>
      <c r="E111" s="55"/>
      <c r="F111" s="57">
        <f>SUM(F100:F110)</f>
        <v>493553</v>
      </c>
      <c r="G111" s="57">
        <f>SUM(G100:G110)</f>
        <v>807775</v>
      </c>
      <c r="H111" s="60"/>
      <c r="I111" s="24"/>
      <c r="K111" s="43"/>
      <c r="L111" s="43"/>
      <c r="M111" s="43"/>
      <c r="N111" s="43"/>
      <c r="O111" s="43"/>
      <c r="P111" s="43"/>
      <c r="Q111" s="43"/>
      <c r="R111" s="43"/>
      <c r="S111" s="43"/>
      <c r="T111" s="43"/>
    </row>
    <row r="112" spans="1:20" x14ac:dyDescent="0.3">
      <c r="A112" s="59"/>
      <c r="B112" s="60"/>
      <c r="C112" s="60"/>
      <c r="D112" s="24"/>
      <c r="E112" s="24"/>
      <c r="F112" s="60"/>
      <c r="G112" s="24"/>
      <c r="H112" s="60"/>
      <c r="I112" s="24"/>
      <c r="K112" s="43"/>
      <c r="L112" s="43"/>
      <c r="M112" s="43"/>
      <c r="N112" s="43"/>
      <c r="O112" s="43"/>
      <c r="P112" s="43"/>
      <c r="Q112" s="43"/>
      <c r="R112" s="43"/>
      <c r="S112" s="43"/>
      <c r="T112" s="43"/>
    </row>
    <row r="113" spans="1:20" x14ac:dyDescent="0.3">
      <c r="A113" s="59"/>
      <c r="B113" s="60"/>
      <c r="C113" s="60"/>
      <c r="D113" s="24"/>
      <c r="E113" s="24"/>
      <c r="F113" s="60"/>
      <c r="G113" s="24"/>
      <c r="H113" s="60"/>
      <c r="I113" s="24"/>
      <c r="K113" s="43"/>
      <c r="L113" s="43"/>
      <c r="M113" s="43"/>
      <c r="N113" s="43"/>
      <c r="O113" s="43"/>
      <c r="P113" s="43"/>
      <c r="Q113" s="43"/>
      <c r="R113" s="43"/>
      <c r="S113" s="43"/>
      <c r="T113" s="43"/>
    </row>
    <row r="114" spans="1:20" ht="14.5" x14ac:dyDescent="0.35">
      <c r="A114" s="39" t="s">
        <v>104</v>
      </c>
      <c r="B114" s="61" t="s">
        <v>51</v>
      </c>
      <c r="C114" s="24"/>
      <c r="D114" s="24"/>
      <c r="E114" s="24"/>
      <c r="F114" s="198"/>
      <c r="G114" s="199"/>
    </row>
    <row r="115" spans="1:20" s="24" customFormat="1" x14ac:dyDescent="0.3">
      <c r="B115" s="51" t="s">
        <v>109</v>
      </c>
      <c r="C115" s="62"/>
      <c r="D115" s="63"/>
      <c r="E115" s="64"/>
      <c r="F115" s="65">
        <f>+F99</f>
        <v>2019</v>
      </c>
      <c r="G115" s="207"/>
    </row>
    <row r="116" spans="1:20" s="24" customFormat="1" ht="12.75" customHeight="1" x14ac:dyDescent="0.3">
      <c r="B116" s="66" t="s">
        <v>81</v>
      </c>
      <c r="C116" s="66"/>
      <c r="D116" s="66"/>
      <c r="E116" s="66"/>
      <c r="F116" s="23">
        <v>865872</v>
      </c>
      <c r="G116" s="23"/>
    </row>
    <row r="117" spans="1:20" s="24" customFormat="1" x14ac:dyDescent="0.3">
      <c r="B117" s="66" t="s">
        <v>150</v>
      </c>
      <c r="C117" s="66"/>
      <c r="D117" s="66"/>
      <c r="E117" s="66"/>
      <c r="F117" s="23">
        <v>0</v>
      </c>
      <c r="G117" s="23"/>
    </row>
    <row r="118" spans="1:20" s="24" customFormat="1" x14ac:dyDescent="0.3">
      <c r="B118" s="67" t="s">
        <v>58</v>
      </c>
      <c r="C118" s="66"/>
      <c r="D118" s="66"/>
      <c r="E118" s="66"/>
      <c r="F118" s="23">
        <f t="shared" ref="F118:F119" si="0">SUM(D118:E118)</f>
        <v>0</v>
      </c>
      <c r="G118" s="23"/>
    </row>
    <row r="119" spans="1:20" s="24" customFormat="1" x14ac:dyDescent="0.3">
      <c r="B119" s="68" t="s">
        <v>59</v>
      </c>
      <c r="C119" s="69"/>
      <c r="D119" s="69"/>
      <c r="E119" s="69"/>
      <c r="F119" s="70">
        <f t="shared" si="0"/>
        <v>0</v>
      </c>
      <c r="G119" s="23"/>
    </row>
    <row r="120" spans="1:20" s="24" customFormat="1" x14ac:dyDescent="0.3">
      <c r="B120" s="71" t="s">
        <v>82</v>
      </c>
      <c r="C120" s="66"/>
      <c r="D120" s="72"/>
      <c r="E120" s="72"/>
      <c r="F120" s="72">
        <f>SUM(F116:F119)</f>
        <v>865872</v>
      </c>
      <c r="G120" s="72"/>
    </row>
    <row r="121" spans="1:20" s="24" customFormat="1" x14ac:dyDescent="0.3">
      <c r="B121" s="71"/>
      <c r="C121" s="66"/>
      <c r="D121" s="73"/>
      <c r="E121" s="73"/>
      <c r="F121" s="73"/>
      <c r="G121" s="73"/>
    </row>
    <row r="122" spans="1:20" s="24" customFormat="1" x14ac:dyDescent="0.3">
      <c r="B122" s="68" t="s">
        <v>83</v>
      </c>
      <c r="C122" s="69"/>
      <c r="D122" s="74"/>
      <c r="E122" s="74"/>
      <c r="F122" s="70">
        <v>865871</v>
      </c>
      <c r="G122" s="23"/>
    </row>
    <row r="123" spans="1:20" s="24" customFormat="1" ht="12.75" customHeight="1" x14ac:dyDescent="0.3">
      <c r="B123" s="71" t="s">
        <v>84</v>
      </c>
      <c r="C123" s="72"/>
      <c r="D123" s="72"/>
      <c r="E123" s="72"/>
      <c r="F123" s="72">
        <f>F120-F122</f>
        <v>1</v>
      </c>
      <c r="G123" s="72"/>
    </row>
    <row r="124" spans="1:20" ht="12.75" customHeight="1" x14ac:dyDescent="0.3">
      <c r="B124" s="67"/>
      <c r="C124" s="66"/>
      <c r="D124" s="66"/>
      <c r="E124" s="66"/>
      <c r="F124" s="66"/>
      <c r="G124" s="66"/>
    </row>
    <row r="125" spans="1:20" x14ac:dyDescent="0.3">
      <c r="B125" s="67" t="s">
        <v>215</v>
      </c>
      <c r="C125" s="66"/>
      <c r="D125" s="66"/>
      <c r="E125" s="66"/>
      <c r="F125" s="66"/>
      <c r="G125" s="66"/>
    </row>
    <row r="126" spans="1:20" x14ac:dyDescent="0.3">
      <c r="B126" s="67" t="s">
        <v>216</v>
      </c>
      <c r="C126" s="66"/>
      <c r="D126" s="75"/>
      <c r="E126" s="75"/>
      <c r="F126" s="75"/>
      <c r="G126" s="75"/>
    </row>
    <row r="127" spans="1:20" x14ac:dyDescent="0.3">
      <c r="B127" s="67" t="s">
        <v>217</v>
      </c>
      <c r="C127" s="66"/>
      <c r="D127" s="75"/>
      <c r="E127" s="75"/>
      <c r="F127" s="75"/>
      <c r="G127" s="75"/>
    </row>
    <row r="128" spans="1:20" x14ac:dyDescent="0.3">
      <c r="B128" s="67"/>
      <c r="C128" s="66"/>
      <c r="D128" s="75"/>
      <c r="E128" s="75"/>
      <c r="F128" s="75"/>
      <c r="G128" s="75"/>
    </row>
    <row r="129" spans="1:10" x14ac:dyDescent="0.3">
      <c r="B129" s="67"/>
      <c r="C129" s="66"/>
      <c r="D129" s="66"/>
      <c r="E129" s="66"/>
      <c r="F129" s="75"/>
      <c r="G129" s="75"/>
      <c r="H129" s="75"/>
      <c r="I129" s="75"/>
      <c r="J129" s="75"/>
    </row>
    <row r="130" spans="1:10" x14ac:dyDescent="0.3">
      <c r="B130" s="67"/>
      <c r="C130" s="66"/>
      <c r="D130" s="66"/>
      <c r="E130" s="66"/>
      <c r="F130" s="75"/>
      <c r="G130" s="75"/>
      <c r="H130" s="75"/>
      <c r="I130" s="75"/>
      <c r="J130" s="75"/>
    </row>
    <row r="131" spans="1:10" ht="14.5" x14ac:dyDescent="0.35">
      <c r="A131" s="39" t="s">
        <v>61</v>
      </c>
      <c r="B131" s="76" t="s">
        <v>13</v>
      </c>
      <c r="C131" s="66"/>
      <c r="D131" s="66"/>
      <c r="E131" s="66"/>
      <c r="F131" s="75"/>
      <c r="G131" s="75"/>
      <c r="H131" s="75"/>
      <c r="I131" s="75"/>
      <c r="J131" s="75"/>
    </row>
    <row r="132" spans="1:10" ht="14.5" x14ac:dyDescent="0.35">
      <c r="A132" s="39"/>
      <c r="B132" s="208" t="s">
        <v>202</v>
      </c>
      <c r="C132" s="66"/>
      <c r="D132" s="66"/>
      <c r="E132" s="66"/>
      <c r="F132" s="75"/>
      <c r="G132" s="75"/>
      <c r="H132" s="75"/>
      <c r="I132" s="75"/>
      <c r="J132" s="75"/>
    </row>
    <row r="133" spans="1:10" ht="15.75" customHeight="1" x14ac:dyDescent="0.3">
      <c r="A133" s="71"/>
      <c r="B133" s="43"/>
      <c r="C133" s="43"/>
      <c r="D133" s="53"/>
      <c r="E133" s="53"/>
      <c r="F133" s="78"/>
      <c r="G133" s="79"/>
      <c r="H133" s="72"/>
      <c r="I133" s="24"/>
    </row>
    <row r="134" spans="1:10" ht="14.5" x14ac:dyDescent="0.35">
      <c r="A134" s="39" t="s">
        <v>72</v>
      </c>
      <c r="B134" s="76" t="s">
        <v>8</v>
      </c>
      <c r="C134" s="59"/>
      <c r="D134" s="59"/>
      <c r="E134" s="198" t="s">
        <v>151</v>
      </c>
      <c r="F134" s="198" t="s">
        <v>8</v>
      </c>
      <c r="G134" s="198" t="s">
        <v>11</v>
      </c>
      <c r="H134" s="24"/>
    </row>
    <row r="135" spans="1:10" ht="15.75" customHeight="1" x14ac:dyDescent="0.35">
      <c r="A135" s="39"/>
      <c r="B135" s="51"/>
      <c r="C135" s="52"/>
      <c r="D135" s="51"/>
      <c r="E135" s="82" t="s">
        <v>152</v>
      </c>
      <c r="F135" s="82" t="s">
        <v>153</v>
      </c>
      <c r="G135" s="82" t="s">
        <v>74</v>
      </c>
      <c r="H135" s="24"/>
    </row>
    <row r="136" spans="1:10" ht="14.5" x14ac:dyDescent="0.35">
      <c r="A136" s="39"/>
      <c r="B136" s="77" t="s">
        <v>80</v>
      </c>
      <c r="C136" s="125"/>
      <c r="D136" s="77"/>
      <c r="E136" s="196">
        <v>553457</v>
      </c>
      <c r="F136" s="196">
        <v>3886224</v>
      </c>
      <c r="G136" s="28">
        <f>+E136+F136</f>
        <v>4439681</v>
      </c>
      <c r="H136" s="23"/>
    </row>
    <row r="137" spans="1:10" ht="14.5" x14ac:dyDescent="0.35">
      <c r="A137" s="39"/>
      <c r="B137" s="80"/>
      <c r="C137" s="83"/>
      <c r="D137" s="80"/>
      <c r="E137" s="84"/>
      <c r="F137" s="84"/>
      <c r="G137" s="23"/>
      <c r="H137" s="23"/>
    </row>
    <row r="138" spans="1:10" ht="14.5" x14ac:dyDescent="0.35">
      <c r="A138" s="39"/>
      <c r="B138" s="85" t="s">
        <v>21</v>
      </c>
      <c r="C138" s="85"/>
      <c r="D138" s="24"/>
      <c r="E138" s="87"/>
      <c r="F138" s="86"/>
      <c r="G138" s="23"/>
      <c r="H138" s="23"/>
    </row>
    <row r="139" spans="1:10" ht="14.5" x14ac:dyDescent="0.35">
      <c r="A139" s="39"/>
      <c r="B139" s="24" t="s">
        <v>73</v>
      </c>
      <c r="C139" s="24"/>
      <c r="D139" s="24"/>
      <c r="E139" s="86">
        <v>99060</v>
      </c>
      <c r="F139" s="124">
        <f>-424705.81-99060</f>
        <v>-523765.81</v>
      </c>
      <c r="G139" s="23">
        <f t="shared" ref="G139" si="1">+E139+F139</f>
        <v>-424705.81</v>
      </c>
      <c r="H139" s="23"/>
    </row>
    <row r="140" spans="1:10" ht="14.5" x14ac:dyDescent="0.35">
      <c r="A140" s="39"/>
      <c r="B140" s="48" t="s">
        <v>85</v>
      </c>
      <c r="C140" s="49"/>
      <c r="D140" s="49"/>
      <c r="E140" s="89">
        <f>SUM(E136:E139)</f>
        <v>652517</v>
      </c>
      <c r="F140" s="89">
        <f>SUM(F136:F139)</f>
        <v>3362458.19</v>
      </c>
      <c r="G140" s="89">
        <f>SUM(G136:G139)</f>
        <v>4014975.19</v>
      </c>
      <c r="H140" s="23"/>
    </row>
    <row r="141" spans="1:10" x14ac:dyDescent="0.3">
      <c r="A141" s="81"/>
      <c r="B141" s="59"/>
      <c r="C141" s="59"/>
      <c r="D141" s="59"/>
      <c r="E141" s="24"/>
      <c r="F141" s="24"/>
      <c r="G141" s="24"/>
      <c r="H141" s="24"/>
      <c r="I141" s="24"/>
    </row>
    <row r="142" spans="1:10" ht="14.5" customHeight="1" x14ac:dyDescent="0.3">
      <c r="A142" s="59"/>
      <c r="B142" s="59"/>
      <c r="C142" s="59"/>
      <c r="D142" s="59"/>
      <c r="E142" s="24"/>
      <c r="F142" s="24"/>
      <c r="G142" s="24"/>
      <c r="H142" s="24"/>
      <c r="I142" s="24"/>
    </row>
    <row r="143" spans="1:10" x14ac:dyDescent="0.3">
      <c r="A143" s="91"/>
      <c r="B143" s="24"/>
      <c r="C143" s="24"/>
      <c r="D143" s="24"/>
      <c r="E143" s="91"/>
      <c r="F143" s="91"/>
      <c r="G143" s="91"/>
      <c r="H143" s="91"/>
      <c r="I143" s="92"/>
    </row>
    <row r="144" spans="1:10" x14ac:dyDescent="0.3">
      <c r="A144" s="93"/>
      <c r="B144" s="24"/>
      <c r="C144" s="24"/>
      <c r="D144" s="24"/>
      <c r="E144" s="86"/>
      <c r="F144" s="209"/>
      <c r="G144" s="209"/>
      <c r="H144" s="86"/>
      <c r="I144" s="88"/>
    </row>
    <row r="145" spans="1:9" x14ac:dyDescent="0.3">
      <c r="A145" s="85"/>
      <c r="B145" s="21"/>
      <c r="C145" s="24"/>
      <c r="D145" s="24"/>
      <c r="E145" s="85"/>
      <c r="F145" s="90"/>
      <c r="G145" s="90"/>
      <c r="H145" s="90"/>
      <c r="I145" s="85"/>
    </row>
    <row r="146" spans="1:9" x14ac:dyDescent="0.3">
      <c r="A146" s="85"/>
      <c r="B146" s="85"/>
      <c r="C146" s="85"/>
      <c r="D146" s="85"/>
      <c r="E146" s="85"/>
      <c r="F146" s="90"/>
      <c r="G146" s="90"/>
      <c r="H146" s="23"/>
      <c r="I146" s="24"/>
    </row>
    <row r="147" spans="1:9" x14ac:dyDescent="0.3">
      <c r="A147" s="88"/>
      <c r="B147" s="88"/>
      <c r="C147" s="88"/>
      <c r="D147" s="88"/>
      <c r="E147" s="88"/>
      <c r="F147" s="86"/>
      <c r="G147" s="94"/>
      <c r="H147" s="23"/>
      <c r="I147" s="24"/>
    </row>
    <row r="148" spans="1:9" ht="15.5" x14ac:dyDescent="0.35">
      <c r="A148" s="126"/>
      <c r="B148" s="128"/>
      <c r="C148" s="127"/>
      <c r="D148" s="95"/>
      <c r="E148" s="24"/>
      <c r="F148" s="24"/>
      <c r="G148" s="24"/>
      <c r="H148" s="24"/>
      <c r="I148" s="24"/>
    </row>
    <row r="149" spans="1:9" x14ac:dyDescent="0.3">
      <c r="A149" s="96"/>
      <c r="B149" s="97"/>
      <c r="C149" s="96"/>
      <c r="D149" s="97"/>
      <c r="E149" s="24"/>
      <c r="F149" s="98"/>
      <c r="G149" s="21"/>
      <c r="H149" s="98"/>
      <c r="I149" s="24"/>
    </row>
    <row r="150" spans="1:9" x14ac:dyDescent="0.3">
      <c r="A150" s="96"/>
      <c r="B150" s="96"/>
      <c r="C150" s="96"/>
      <c r="D150" s="97"/>
      <c r="E150" s="24"/>
      <c r="F150" s="24"/>
      <c r="G150" s="24"/>
      <c r="H150" s="24"/>
      <c r="I150" s="24"/>
    </row>
    <row r="151" spans="1:9" ht="15.5" x14ac:dyDescent="0.35">
      <c r="A151" s="99"/>
      <c r="B151" s="100"/>
      <c r="C151" s="101"/>
      <c r="D151" s="95"/>
      <c r="E151" s="24"/>
      <c r="F151" s="24"/>
      <c r="G151" s="24"/>
      <c r="H151" s="23"/>
      <c r="I151" s="24"/>
    </row>
    <row r="152" spans="1:9" x14ac:dyDescent="0.3">
      <c r="A152" s="97"/>
      <c r="B152" s="97"/>
      <c r="C152" s="97"/>
      <c r="D152" s="97"/>
      <c r="E152" s="24"/>
      <c r="F152" s="23"/>
      <c r="G152" s="102"/>
      <c r="H152" s="23"/>
      <c r="I152" s="24"/>
    </row>
    <row r="153" spans="1:9" x14ac:dyDescent="0.3">
      <c r="A153" s="24"/>
      <c r="B153" s="24"/>
      <c r="C153" s="24"/>
      <c r="D153" s="24"/>
      <c r="E153" s="24"/>
      <c r="F153" s="23"/>
      <c r="G153" s="102"/>
      <c r="H153" s="23"/>
      <c r="I153" s="24"/>
    </row>
    <row r="154" spans="1:9" x14ac:dyDescent="0.3">
      <c r="A154" s="97"/>
      <c r="B154" s="97"/>
      <c r="C154" s="97"/>
      <c r="D154" s="97"/>
      <c r="E154" s="24"/>
      <c r="F154" s="23"/>
      <c r="G154" s="102"/>
      <c r="H154" s="23"/>
      <c r="I154" s="24"/>
    </row>
    <row r="155" spans="1:9" x14ac:dyDescent="0.3">
      <c r="A155" s="97"/>
      <c r="B155" s="96"/>
      <c r="C155" s="96"/>
      <c r="D155" s="96"/>
      <c r="E155" s="24"/>
      <c r="F155" s="23"/>
      <c r="G155" s="102"/>
      <c r="H155" s="23"/>
      <c r="I155" s="21"/>
    </row>
    <row r="156" spans="1:9" x14ac:dyDescent="0.3">
      <c r="A156" s="96"/>
      <c r="B156" s="96"/>
      <c r="C156" s="96"/>
      <c r="D156" s="103"/>
      <c r="E156" s="21"/>
      <c r="F156" s="104"/>
      <c r="G156" s="81"/>
      <c r="H156" s="104"/>
      <c r="I156" s="21"/>
    </row>
    <row r="157" spans="1:9" x14ac:dyDescent="0.3">
      <c r="A157" s="97"/>
      <c r="B157" s="97"/>
      <c r="C157" s="97"/>
      <c r="D157" s="105"/>
      <c r="E157" s="24"/>
      <c r="F157" s="104"/>
      <c r="G157" s="59"/>
      <c r="H157" s="104"/>
      <c r="I157" s="24"/>
    </row>
    <row r="158" spans="1:9" x14ac:dyDescent="0.3">
      <c r="A158" s="106"/>
      <c r="B158" s="106"/>
      <c r="C158" s="24"/>
      <c r="D158" s="24"/>
      <c r="E158" s="24"/>
      <c r="F158" s="21"/>
      <c r="G158" s="21"/>
      <c r="H158" s="21"/>
      <c r="I158" s="24"/>
    </row>
    <row r="159" spans="1:9" x14ac:dyDescent="0.3">
      <c r="A159" s="106"/>
      <c r="B159" s="106"/>
      <c r="C159" s="24"/>
      <c r="D159" s="24"/>
      <c r="E159" s="24"/>
      <c r="F159" s="21"/>
      <c r="G159" s="21"/>
      <c r="H159" s="21"/>
      <c r="I159" s="24"/>
    </row>
    <row r="160" spans="1:9" x14ac:dyDescent="0.3">
      <c r="A160" s="106"/>
      <c r="B160" s="107"/>
      <c r="C160" s="24"/>
      <c r="D160" s="24"/>
      <c r="E160" s="234"/>
      <c r="F160" s="234"/>
      <c r="G160" s="234"/>
      <c r="H160" s="234"/>
      <c r="I160" s="109"/>
    </row>
    <row r="161" spans="1:41" x14ac:dyDescent="0.3">
      <c r="A161" s="106"/>
      <c r="B161" s="106"/>
      <c r="C161" s="24"/>
      <c r="D161" s="24"/>
      <c r="E161" s="25"/>
      <c r="F161" s="110"/>
      <c r="G161" s="25"/>
      <c r="H161" s="110"/>
      <c r="I161" s="109"/>
    </row>
    <row r="162" spans="1:41" s="112" customFormat="1" x14ac:dyDescent="0.3">
      <c r="A162" s="106"/>
      <c r="B162" s="106"/>
      <c r="C162" s="24"/>
      <c r="D162" s="109"/>
      <c r="E162" s="109"/>
      <c r="F162" s="21"/>
      <c r="G162" s="109"/>
      <c r="H162" s="21"/>
      <c r="I162" s="109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</row>
    <row r="163" spans="1:41" x14ac:dyDescent="0.3">
      <c r="A163" s="113"/>
      <c r="B163" s="106"/>
      <c r="C163" s="24"/>
      <c r="D163" s="24"/>
      <c r="E163" s="24"/>
      <c r="F163" s="21"/>
      <c r="G163" s="24"/>
      <c r="H163" s="21"/>
      <c r="I163" s="24"/>
    </row>
    <row r="164" spans="1:41" x14ac:dyDescent="0.3">
      <c r="A164" s="114"/>
      <c r="B164" s="114"/>
      <c r="C164" s="24"/>
      <c r="D164" s="24"/>
      <c r="E164" s="23"/>
      <c r="F164" s="23"/>
      <c r="G164" s="23"/>
      <c r="H164" s="23"/>
      <c r="I164" s="24"/>
    </row>
    <row r="165" spans="1:41" x14ac:dyDescent="0.3">
      <c r="A165" s="114"/>
      <c r="B165" s="114"/>
      <c r="C165" s="24"/>
      <c r="D165" s="24"/>
      <c r="E165" s="23"/>
      <c r="F165" s="23"/>
      <c r="G165" s="23"/>
      <c r="H165" s="23"/>
      <c r="I165" s="24"/>
    </row>
    <row r="166" spans="1:41" x14ac:dyDescent="0.3">
      <c r="A166" s="114"/>
      <c r="B166" s="114"/>
      <c r="C166" s="24"/>
      <c r="D166" s="24"/>
      <c r="E166" s="23"/>
      <c r="F166" s="23"/>
      <c r="G166" s="23"/>
      <c r="H166" s="23"/>
      <c r="I166" s="24"/>
    </row>
    <row r="167" spans="1:41" x14ac:dyDescent="0.3">
      <c r="A167" s="114"/>
      <c r="B167" s="114"/>
      <c r="C167" s="24"/>
      <c r="D167" s="24"/>
      <c r="E167" s="23"/>
      <c r="F167" s="23"/>
      <c r="G167" s="23"/>
      <c r="H167" s="23"/>
      <c r="I167" s="24"/>
    </row>
    <row r="168" spans="1:41" x14ac:dyDescent="0.3">
      <c r="A168" s="114"/>
      <c r="B168" s="114"/>
      <c r="C168" s="24"/>
      <c r="D168" s="24"/>
      <c r="E168" s="23"/>
      <c r="F168" s="23"/>
      <c r="G168" s="23"/>
      <c r="H168" s="23"/>
      <c r="I168" s="24"/>
    </row>
    <row r="169" spans="1:41" x14ac:dyDescent="0.3">
      <c r="A169" s="114"/>
      <c r="B169" s="114"/>
      <c r="C169" s="24"/>
      <c r="D169" s="115"/>
      <c r="E169" s="102"/>
      <c r="F169" s="23"/>
      <c r="G169" s="102"/>
      <c r="H169" s="23"/>
      <c r="I169" s="24"/>
    </row>
    <row r="170" spans="1:41" x14ac:dyDescent="0.3">
      <c r="A170" s="114"/>
      <c r="B170" s="114"/>
      <c r="C170" s="24"/>
      <c r="D170" s="116"/>
      <c r="E170" s="102"/>
      <c r="F170" s="23"/>
      <c r="G170" s="102"/>
      <c r="H170" s="23"/>
      <c r="I170" s="24"/>
    </row>
    <row r="171" spans="1:41" x14ac:dyDescent="0.3">
      <c r="A171" s="24"/>
      <c r="B171" s="114"/>
      <c r="C171" s="24"/>
      <c r="D171" s="117"/>
      <c r="E171" s="23"/>
      <c r="F171" s="23"/>
      <c r="G171" s="23"/>
      <c r="H171" s="23"/>
      <c r="I171" s="24"/>
    </row>
    <row r="172" spans="1:41" x14ac:dyDescent="0.3">
      <c r="A172" s="114"/>
      <c r="B172" s="114"/>
      <c r="C172" s="24"/>
      <c r="D172" s="118"/>
      <c r="E172" s="23"/>
      <c r="F172" s="23"/>
      <c r="G172" s="23"/>
      <c r="H172" s="23"/>
      <c r="I172" s="24"/>
    </row>
    <row r="173" spans="1:41" x14ac:dyDescent="0.3">
      <c r="A173" s="119"/>
      <c r="B173" s="114"/>
      <c r="C173" s="24"/>
      <c r="D173" s="118"/>
      <c r="E173" s="102"/>
      <c r="F173" s="102"/>
      <c r="G173" s="102"/>
      <c r="H173" s="102"/>
      <c r="I173" s="24"/>
    </row>
    <row r="174" spans="1:41" x14ac:dyDescent="0.3">
      <c r="A174" s="114"/>
      <c r="B174" s="114"/>
      <c r="C174" s="24"/>
      <c r="D174" s="118"/>
      <c r="E174" s="102"/>
      <c r="F174" s="102"/>
      <c r="G174" s="102"/>
      <c r="H174" s="102"/>
      <c r="I174" s="24"/>
    </row>
    <row r="175" spans="1:41" x14ac:dyDescent="0.3">
      <c r="A175" s="24"/>
      <c r="B175" s="24"/>
      <c r="C175" s="24"/>
      <c r="D175" s="59"/>
      <c r="E175" s="23"/>
      <c r="F175" s="23"/>
      <c r="G175" s="23"/>
      <c r="H175" s="23"/>
      <c r="I175" s="24"/>
    </row>
    <row r="176" spans="1:41" x14ac:dyDescent="0.3">
      <c r="A176" s="24"/>
      <c r="B176" s="24"/>
      <c r="C176" s="24"/>
      <c r="D176" s="24"/>
      <c r="E176" s="24"/>
      <c r="F176" s="24"/>
      <c r="G176" s="24"/>
      <c r="H176" s="24"/>
      <c r="I176" s="24"/>
    </row>
    <row r="177" spans="1:9" s="24" customFormat="1" x14ac:dyDescent="0.3">
      <c r="G177" s="115"/>
      <c r="H177" s="115"/>
    </row>
    <row r="178" spans="1:9" s="24" customFormat="1" ht="15.5" x14ac:dyDescent="0.35">
      <c r="A178" s="99"/>
      <c r="B178" s="120"/>
      <c r="C178" s="101"/>
      <c r="G178" s="115"/>
      <c r="H178" s="102"/>
    </row>
    <row r="179" spans="1:9" s="24" customFormat="1" x14ac:dyDescent="0.3">
      <c r="G179" s="115"/>
    </row>
    <row r="180" spans="1:9" s="24" customFormat="1" x14ac:dyDescent="0.3">
      <c r="G180" s="115"/>
      <c r="H180" s="102"/>
    </row>
    <row r="181" spans="1:9" s="24" customFormat="1" x14ac:dyDescent="0.3">
      <c r="A181" s="121"/>
      <c r="G181" s="115"/>
      <c r="H181" s="102"/>
    </row>
    <row r="182" spans="1:9" s="24" customFormat="1" x14ac:dyDescent="0.3">
      <c r="A182" s="122"/>
      <c r="H182" s="102"/>
    </row>
    <row r="183" spans="1:9" s="24" customFormat="1" ht="20.25" customHeight="1" x14ac:dyDescent="0.3">
      <c r="A183" s="123"/>
      <c r="D183" s="123"/>
      <c r="H183" s="102"/>
    </row>
    <row r="184" spans="1:9" s="24" customFormat="1" x14ac:dyDescent="0.3">
      <c r="A184" s="123"/>
      <c r="D184" s="123"/>
      <c r="H184" s="102"/>
    </row>
    <row r="185" spans="1:9" s="24" customFormat="1" x14ac:dyDescent="0.3">
      <c r="A185" s="123"/>
      <c r="D185" s="123"/>
    </row>
    <row r="186" spans="1:9" s="24" customFormat="1" x14ac:dyDescent="0.3">
      <c r="A186" s="123"/>
      <c r="D186" s="123"/>
      <c r="H186" s="102"/>
    </row>
    <row r="187" spans="1:9" s="24" customFormat="1" x14ac:dyDescent="0.3">
      <c r="A187" s="123"/>
      <c r="D187" s="123"/>
    </row>
    <row r="188" spans="1:9" s="24" customFormat="1" x14ac:dyDescent="0.3">
      <c r="A188" s="123"/>
      <c r="D188" s="123"/>
      <c r="H188" s="115"/>
    </row>
    <row r="189" spans="1:9" s="24" customFormat="1" x14ac:dyDescent="0.3">
      <c r="A189" s="123"/>
      <c r="D189" s="123"/>
      <c r="H189" s="115"/>
    </row>
    <row r="190" spans="1:9" s="24" customFormat="1" x14ac:dyDescent="0.3">
      <c r="H190" s="115"/>
    </row>
    <row r="191" spans="1:9" s="24" customFormat="1" x14ac:dyDescent="0.3"/>
    <row r="192" spans="1:9" x14ac:dyDescent="0.3">
      <c r="A192" s="24"/>
      <c r="B192" s="24"/>
      <c r="C192" s="24"/>
      <c r="D192" s="24"/>
      <c r="E192" s="24"/>
      <c r="F192" s="24"/>
      <c r="G192" s="24"/>
      <c r="H192" s="24"/>
      <c r="I192" s="24"/>
    </row>
    <row r="193" spans="1:9" x14ac:dyDescent="0.3">
      <c r="A193" s="24"/>
      <c r="B193" s="24"/>
      <c r="C193" s="24"/>
      <c r="D193" s="24"/>
      <c r="E193" s="24"/>
      <c r="F193" s="24"/>
      <c r="G193" s="24"/>
      <c r="H193" s="24"/>
      <c r="I193" s="24"/>
    </row>
    <row r="194" spans="1:9" x14ac:dyDescent="0.3">
      <c r="A194" s="24"/>
      <c r="B194" s="24"/>
      <c r="C194" s="24"/>
      <c r="D194" s="24"/>
      <c r="E194" s="24"/>
      <c r="F194" s="24"/>
      <c r="G194" s="24"/>
      <c r="H194" s="24"/>
      <c r="I194" s="24"/>
    </row>
  </sheetData>
  <mergeCells count="4">
    <mergeCell ref="A1:H1"/>
    <mergeCell ref="A3:H3"/>
    <mergeCell ref="E160:F160"/>
    <mergeCell ref="G160:H160"/>
  </mergeCells>
  <printOptions horizontalCentered="1"/>
  <pageMargins left="0.39370078740157483" right="0.39370078740157483" top="0.59055118110236227" bottom="0.39370078740157483" header="0" footer="0"/>
  <pageSetup paperSize="9" scale="88" fitToHeight="15" orientation="portrait" horizontalDpi="4294967292" r:id="rId1"/>
  <headerFooter alignWithMargins="0"/>
  <rowBreaks count="2" manualBreakCount="2">
    <brk id="46" max="7" man="1"/>
    <brk id="9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1"/>
  <sheetViews>
    <sheetView topLeftCell="A17" workbookViewId="0">
      <selection activeCell="G43" sqref="G43"/>
    </sheetView>
  </sheetViews>
  <sheetFormatPr baseColWidth="10" defaultRowHeight="14" x14ac:dyDescent="0.3"/>
  <cols>
    <col min="1" max="1" width="40.6328125" customWidth="1"/>
    <col min="2" max="2" width="14.6328125" style="218" customWidth="1"/>
    <col min="3" max="3" width="14.6328125" style="78" customWidth="1"/>
  </cols>
  <sheetData>
    <row r="1" spans="1:3" ht="23.5" x14ac:dyDescent="0.55000000000000004">
      <c r="A1" s="227" t="str">
        <f>+Forside!B12</f>
        <v>Kråkstad Idrettslag</v>
      </c>
      <c r="B1" s="228"/>
      <c r="C1"/>
    </row>
    <row r="2" spans="1:3" ht="18.5" x14ac:dyDescent="0.3">
      <c r="A2" s="229" t="s">
        <v>166</v>
      </c>
      <c r="B2" s="228"/>
      <c r="C2"/>
    </row>
    <row r="3" spans="1:3" ht="18.5" x14ac:dyDescent="0.3">
      <c r="A3" s="229" t="s">
        <v>79</v>
      </c>
      <c r="B3" s="228"/>
      <c r="C3"/>
    </row>
    <row r="4" spans="1:3" ht="18.5" x14ac:dyDescent="0.45">
      <c r="A4" s="226"/>
      <c r="B4" s="226"/>
      <c r="C4"/>
    </row>
    <row r="5" spans="1:3" x14ac:dyDescent="0.3">
      <c r="A5" s="9" t="s">
        <v>29</v>
      </c>
      <c r="B5" s="219">
        <v>2019</v>
      </c>
      <c r="C5" s="216">
        <v>2018</v>
      </c>
    </row>
    <row r="6" spans="1:3" ht="11.25" customHeight="1" x14ac:dyDescent="0.3">
      <c r="A6" s="5"/>
    </row>
    <row r="7" spans="1:3" x14ac:dyDescent="0.3">
      <c r="A7" s="11" t="s">
        <v>105</v>
      </c>
    </row>
    <row r="8" spans="1:3" x14ac:dyDescent="0.3">
      <c r="A8" s="5" t="s">
        <v>182</v>
      </c>
      <c r="C8" s="78">
        <v>22342</v>
      </c>
    </row>
    <row r="9" spans="1:3" x14ac:dyDescent="0.3">
      <c r="A9" s="5" t="s">
        <v>183</v>
      </c>
      <c r="B9" s="218">
        <v>47239.66</v>
      </c>
      <c r="C9" s="78">
        <v>36321</v>
      </c>
    </row>
    <row r="10" spans="1:3" x14ac:dyDescent="0.3">
      <c r="A10" s="5" t="s">
        <v>184</v>
      </c>
      <c r="B10" s="218">
        <v>7733</v>
      </c>
      <c r="C10" s="78">
        <v>6787</v>
      </c>
    </row>
    <row r="11" spans="1:3" x14ac:dyDescent="0.3">
      <c r="A11" s="5" t="s">
        <v>209</v>
      </c>
      <c r="B11" s="218">
        <v>2537</v>
      </c>
    </row>
    <row r="12" spans="1:3" x14ac:dyDescent="0.3">
      <c r="A12" s="5" t="s">
        <v>211</v>
      </c>
      <c r="B12" s="218">
        <v>4100</v>
      </c>
    </row>
    <row r="13" spans="1:3" x14ac:dyDescent="0.3">
      <c r="A13" s="5" t="s">
        <v>212</v>
      </c>
      <c r="B13" s="218">
        <v>5516</v>
      </c>
    </row>
    <row r="14" spans="1:3" x14ac:dyDescent="0.3">
      <c r="A14" s="43" t="s">
        <v>175</v>
      </c>
      <c r="B14" s="218">
        <v>9485</v>
      </c>
      <c r="C14" s="78">
        <v>11080</v>
      </c>
    </row>
    <row r="15" spans="1:3" x14ac:dyDescent="0.3">
      <c r="A15" s="43" t="s">
        <v>126</v>
      </c>
      <c r="B15" s="218">
        <v>78649</v>
      </c>
      <c r="C15" s="78">
        <v>72191</v>
      </c>
    </row>
    <row r="16" spans="1:3" x14ac:dyDescent="0.3">
      <c r="A16" s="43" t="s">
        <v>176</v>
      </c>
      <c r="B16" s="218">
        <v>2020</v>
      </c>
      <c r="C16" s="78">
        <v>2000</v>
      </c>
    </row>
    <row r="17" spans="1:3" x14ac:dyDescent="0.3">
      <c r="A17" s="43" t="s">
        <v>128</v>
      </c>
      <c r="B17" s="218">
        <v>73869</v>
      </c>
      <c r="C17" s="78">
        <v>55659</v>
      </c>
    </row>
    <row r="18" spans="1:3" x14ac:dyDescent="0.3">
      <c r="A18" s="43" t="s">
        <v>197</v>
      </c>
      <c r="B18" s="218">
        <v>31200</v>
      </c>
      <c r="C18" s="78">
        <v>38400</v>
      </c>
    </row>
    <row r="19" spans="1:3" x14ac:dyDescent="0.3">
      <c r="A19" s="43" t="s">
        <v>122</v>
      </c>
      <c r="B19" s="218">
        <v>55000</v>
      </c>
      <c r="C19" s="78">
        <v>55000</v>
      </c>
    </row>
    <row r="20" spans="1:3" x14ac:dyDescent="0.3">
      <c r="A20" s="43" t="s">
        <v>185</v>
      </c>
      <c r="B20" s="218">
        <v>100150</v>
      </c>
      <c r="C20" s="78">
        <v>141100</v>
      </c>
    </row>
    <row r="21" spans="1:3" x14ac:dyDescent="0.3">
      <c r="A21" s="43" t="s">
        <v>188</v>
      </c>
      <c r="B21" s="218">
        <v>33090</v>
      </c>
      <c r="C21" s="78">
        <v>44732</v>
      </c>
    </row>
    <row r="22" spans="1:3" x14ac:dyDescent="0.3">
      <c r="A22" s="12" t="s">
        <v>10</v>
      </c>
      <c r="B22" s="220">
        <f>SUM(B8:B21)</f>
        <v>450588.66000000003</v>
      </c>
      <c r="C22" s="213">
        <f>SUM(C8:C21)</f>
        <v>485612</v>
      </c>
    </row>
    <row r="23" spans="1:3" x14ac:dyDescent="0.3">
      <c r="A23" s="5"/>
    </row>
    <row r="24" spans="1:3" x14ac:dyDescent="0.3">
      <c r="A24" s="11" t="s">
        <v>106</v>
      </c>
    </row>
    <row r="25" spans="1:3" x14ac:dyDescent="0.3">
      <c r="A25" s="15" t="s">
        <v>189</v>
      </c>
      <c r="C25" s="78">
        <v>7684</v>
      </c>
    </row>
    <row r="26" spans="1:3" x14ac:dyDescent="0.3">
      <c r="A26" s="15" t="s">
        <v>190</v>
      </c>
      <c r="B26" s="218">
        <v>3650</v>
      </c>
      <c r="C26" s="78">
        <v>3207</v>
      </c>
    </row>
    <row r="27" spans="1:3" x14ac:dyDescent="0.3">
      <c r="A27" s="15" t="s">
        <v>191</v>
      </c>
      <c r="B27" s="218">
        <v>636</v>
      </c>
      <c r="C27" s="78">
        <v>6805</v>
      </c>
    </row>
    <row r="28" spans="1:3" x14ac:dyDescent="0.3">
      <c r="A28" s="15" t="s">
        <v>192</v>
      </c>
      <c r="C28" s="78">
        <v>6711</v>
      </c>
    </row>
    <row r="29" spans="1:3" x14ac:dyDescent="0.3">
      <c r="A29" s="15" t="s">
        <v>193</v>
      </c>
      <c r="C29" s="78">
        <v>2400</v>
      </c>
    </row>
    <row r="30" spans="1:3" x14ac:dyDescent="0.3">
      <c r="A30" s="15" t="s">
        <v>194</v>
      </c>
      <c r="C30" s="78">
        <v>11830</v>
      </c>
    </row>
    <row r="31" spans="1:3" x14ac:dyDescent="0.3">
      <c r="A31" s="15" t="s">
        <v>208</v>
      </c>
      <c r="B31" s="218">
        <v>16347.63</v>
      </c>
    </row>
    <row r="32" spans="1:3" x14ac:dyDescent="0.3">
      <c r="A32" s="43" t="s">
        <v>177</v>
      </c>
      <c r="B32" s="218">
        <v>8600</v>
      </c>
      <c r="C32" s="78">
        <v>10000</v>
      </c>
    </row>
    <row r="33" spans="1:3" x14ac:dyDescent="0.3">
      <c r="A33" s="43" t="s">
        <v>178</v>
      </c>
      <c r="B33" s="218">
        <v>10000</v>
      </c>
      <c r="C33" s="78">
        <v>10000</v>
      </c>
    </row>
    <row r="34" spans="1:3" x14ac:dyDescent="0.3">
      <c r="A34" s="43" t="s">
        <v>179</v>
      </c>
      <c r="B34" s="218">
        <v>10000</v>
      </c>
      <c r="C34" s="78">
        <v>10000</v>
      </c>
    </row>
    <row r="35" spans="1:3" x14ac:dyDescent="0.3">
      <c r="A35" s="43" t="s">
        <v>180</v>
      </c>
      <c r="B35" s="218">
        <v>15284</v>
      </c>
      <c r="C35" s="78">
        <v>10664</v>
      </c>
    </row>
    <row r="36" spans="1:3" x14ac:dyDescent="0.3">
      <c r="A36" s="43" t="s">
        <v>149</v>
      </c>
      <c r="B36" s="218">
        <v>5500</v>
      </c>
    </row>
    <row r="37" spans="1:3" x14ac:dyDescent="0.3">
      <c r="A37" s="43" t="s">
        <v>148</v>
      </c>
      <c r="B37" s="218">
        <f>-33982+42232</f>
        <v>8250</v>
      </c>
      <c r="C37" s="78">
        <v>16871</v>
      </c>
    </row>
    <row r="38" spans="1:3" x14ac:dyDescent="0.3">
      <c r="A38" s="43" t="s">
        <v>186</v>
      </c>
      <c r="C38" s="78">
        <v>18800</v>
      </c>
    </row>
    <row r="39" spans="1:3" x14ac:dyDescent="0.3">
      <c r="A39" s="43" t="s">
        <v>187</v>
      </c>
      <c r="B39" s="218">
        <v>10350</v>
      </c>
      <c r="C39" s="78">
        <v>19293</v>
      </c>
    </row>
    <row r="40" spans="1:3" x14ac:dyDescent="0.3">
      <c r="A40" s="43" t="s">
        <v>181</v>
      </c>
      <c r="B40" s="218">
        <f>377670-327726</f>
        <v>49944</v>
      </c>
      <c r="C40" s="78">
        <f>257947-172756</f>
        <v>85191</v>
      </c>
    </row>
    <row r="41" spans="1:3" x14ac:dyDescent="0.3">
      <c r="A41" s="12" t="s">
        <v>31</v>
      </c>
      <c r="B41" s="220">
        <f>SUM(B25:B40)</f>
        <v>138561.63</v>
      </c>
      <c r="C41" s="213">
        <f>SUM(C25:C40)</f>
        <v>219456</v>
      </c>
    </row>
    <row r="42" spans="1:3" x14ac:dyDescent="0.3">
      <c r="A42" s="5"/>
    </row>
    <row r="43" spans="1:3" ht="14.5" thickBot="1" x14ac:dyDescent="0.35">
      <c r="A43" s="29" t="s">
        <v>32</v>
      </c>
      <c r="B43" s="221">
        <f>B22-B41</f>
        <v>312027.03000000003</v>
      </c>
      <c r="C43" s="214">
        <f>C22-C41</f>
        <v>266156</v>
      </c>
    </row>
    <row r="44" spans="1:3" x14ac:dyDescent="0.3">
      <c r="A44" s="5"/>
    </row>
    <row r="45" spans="1:3" x14ac:dyDescent="0.3">
      <c r="A45" s="17" t="s">
        <v>36</v>
      </c>
    </row>
    <row r="46" spans="1:3" x14ac:dyDescent="0.3">
      <c r="A46" s="18" t="s">
        <v>33</v>
      </c>
      <c r="B46" s="217">
        <v>16014</v>
      </c>
      <c r="C46" s="6">
        <v>9846</v>
      </c>
    </row>
    <row r="47" spans="1:3" x14ac:dyDescent="0.3">
      <c r="A47" s="24" t="s">
        <v>34</v>
      </c>
      <c r="B47" s="217">
        <v>315</v>
      </c>
      <c r="C47" s="6">
        <v>132</v>
      </c>
    </row>
    <row r="48" spans="1:3" x14ac:dyDescent="0.3">
      <c r="A48" s="12" t="s">
        <v>76</v>
      </c>
      <c r="B48" s="220">
        <f>B46-B47</f>
        <v>15699</v>
      </c>
      <c r="C48" s="213">
        <f>C46-C47</f>
        <v>9714</v>
      </c>
    </row>
    <row r="49" spans="1:3" x14ac:dyDescent="0.3">
      <c r="A49" s="11"/>
    </row>
    <row r="50" spans="1:3" ht="14.5" thickBot="1" x14ac:dyDescent="0.35">
      <c r="A50" s="34" t="s">
        <v>35</v>
      </c>
      <c r="B50" s="222">
        <f>+B43+B48</f>
        <v>327726.03000000003</v>
      </c>
      <c r="C50" s="215">
        <f>+C43+C48</f>
        <v>275870</v>
      </c>
    </row>
    <row r="51" spans="1:3" ht="14.5" thickTop="1" x14ac:dyDescent="0.3"/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"/>
  <sheetViews>
    <sheetView workbookViewId="0">
      <selection activeCell="E24" sqref="E24"/>
    </sheetView>
  </sheetViews>
  <sheetFormatPr baseColWidth="10" defaultRowHeight="14" x14ac:dyDescent="0.3"/>
  <cols>
    <col min="1" max="1" width="40.453125" customWidth="1"/>
    <col min="2" max="2" width="14.1796875" customWidth="1"/>
    <col min="3" max="3" width="11.453125" style="78"/>
  </cols>
  <sheetData>
    <row r="1" spans="1:3" ht="23.5" x14ac:dyDescent="0.55000000000000004">
      <c r="A1" s="227" t="str">
        <f>+Forside!B12</f>
        <v>Kråkstad Idrettslag</v>
      </c>
      <c r="B1" s="228"/>
    </row>
    <row r="2" spans="1:3" ht="18.5" x14ac:dyDescent="0.3">
      <c r="A2" s="229" t="s">
        <v>167</v>
      </c>
      <c r="B2" s="228"/>
    </row>
    <row r="3" spans="1:3" ht="18.5" x14ac:dyDescent="0.3">
      <c r="A3" s="229" t="s">
        <v>79</v>
      </c>
      <c r="B3" s="228"/>
    </row>
    <row r="4" spans="1:3" ht="18.5" x14ac:dyDescent="0.45">
      <c r="A4" s="226"/>
      <c r="B4" s="226"/>
    </row>
    <row r="5" spans="1:3" x14ac:dyDescent="0.3">
      <c r="A5" s="9" t="s">
        <v>29</v>
      </c>
      <c r="B5" s="211">
        <f>+Forside!B22</f>
        <v>2019</v>
      </c>
      <c r="C5" s="211">
        <v>2018</v>
      </c>
    </row>
    <row r="6" spans="1:3" x14ac:dyDescent="0.3">
      <c r="A6" s="5"/>
      <c r="B6" s="6"/>
      <c r="C6" s="6"/>
    </row>
    <row r="7" spans="1:3" x14ac:dyDescent="0.3">
      <c r="A7" s="11" t="s">
        <v>105</v>
      </c>
      <c r="B7" s="6"/>
      <c r="C7" s="6"/>
    </row>
    <row r="8" spans="1:3" x14ac:dyDescent="0.3">
      <c r="A8" s="5" t="s">
        <v>120</v>
      </c>
      <c r="B8" s="6">
        <f>1500+31700</f>
        <v>33200</v>
      </c>
      <c r="C8" s="6">
        <f>-2700+45800</f>
        <v>43100</v>
      </c>
    </row>
    <row r="9" spans="1:3" x14ac:dyDescent="0.3">
      <c r="A9" s="5" t="s">
        <v>206</v>
      </c>
      <c r="B9" s="6"/>
      <c r="C9" s="6">
        <v>100000</v>
      </c>
    </row>
    <row r="10" spans="1:3" x14ac:dyDescent="0.3">
      <c r="A10" s="5" t="s">
        <v>207</v>
      </c>
      <c r="B10" s="6">
        <f>1123+4111</f>
        <v>5234</v>
      </c>
      <c r="C10" s="6">
        <f>100000-59660</f>
        <v>40340</v>
      </c>
    </row>
    <row r="11" spans="1:3" x14ac:dyDescent="0.3">
      <c r="A11" s="5" t="s">
        <v>168</v>
      </c>
      <c r="B11" s="6">
        <v>150000</v>
      </c>
      <c r="C11" s="6">
        <v>150000</v>
      </c>
    </row>
    <row r="12" spans="1:3" x14ac:dyDescent="0.3">
      <c r="A12" s="5" t="s">
        <v>196</v>
      </c>
      <c r="B12" s="6"/>
      <c r="C12" s="6"/>
    </row>
    <row r="13" spans="1:3" x14ac:dyDescent="0.3">
      <c r="A13" s="12" t="s">
        <v>10</v>
      </c>
      <c r="B13" s="14">
        <f>SUM(B8:B12)</f>
        <v>188434</v>
      </c>
      <c r="C13" s="14">
        <f>SUM(C8:C12)</f>
        <v>333440</v>
      </c>
    </row>
    <row r="14" spans="1:3" x14ac:dyDescent="0.3">
      <c r="A14" s="5"/>
      <c r="B14" s="6"/>
      <c r="C14" s="6"/>
    </row>
    <row r="15" spans="1:3" x14ac:dyDescent="0.3">
      <c r="A15" s="11" t="s">
        <v>106</v>
      </c>
      <c r="B15" s="6"/>
      <c r="C15" s="6"/>
    </row>
    <row r="16" spans="1:3" x14ac:dyDescent="0.3">
      <c r="A16" s="15" t="s">
        <v>169</v>
      </c>
      <c r="B16" s="6">
        <v>26525</v>
      </c>
      <c r="C16" s="6">
        <f>-10000+22550</f>
        <v>12550</v>
      </c>
    </row>
    <row r="17" spans="1:3" x14ac:dyDescent="0.3">
      <c r="A17" s="15" t="s">
        <v>213</v>
      </c>
      <c r="B17" s="6">
        <v>865872</v>
      </c>
      <c r="C17" s="6"/>
    </row>
    <row r="18" spans="1:3" x14ac:dyDescent="0.3">
      <c r="A18" s="15" t="s">
        <v>170</v>
      </c>
      <c r="B18" s="6">
        <f>13635+6264</f>
        <v>19899</v>
      </c>
      <c r="C18" s="6">
        <f>2298+22250</f>
        <v>24548</v>
      </c>
    </row>
    <row r="19" spans="1:3" x14ac:dyDescent="0.3">
      <c r="A19" s="15" t="s">
        <v>142</v>
      </c>
      <c r="B19" s="6">
        <v>85139</v>
      </c>
      <c r="C19" s="6">
        <v>97724</v>
      </c>
    </row>
    <row r="20" spans="1:3" x14ac:dyDescent="0.3">
      <c r="A20" s="15" t="s">
        <v>171</v>
      </c>
      <c r="B20" s="6">
        <v>3115</v>
      </c>
      <c r="C20" s="6">
        <f>5234+43650-18176.78-1900+4888</f>
        <v>33695.22</v>
      </c>
    </row>
    <row r="21" spans="1:3" x14ac:dyDescent="0.3">
      <c r="A21" s="15" t="s">
        <v>172</v>
      </c>
      <c r="B21" s="6">
        <v>0</v>
      </c>
      <c r="C21" s="6">
        <v>46549</v>
      </c>
    </row>
    <row r="22" spans="1:3" x14ac:dyDescent="0.3">
      <c r="A22" s="15" t="s">
        <v>173</v>
      </c>
      <c r="B22" s="6">
        <v>1418</v>
      </c>
      <c r="C22" s="6">
        <v>-6938.3779130000003</v>
      </c>
    </row>
    <row r="23" spans="1:3" x14ac:dyDescent="0.3">
      <c r="A23" s="15" t="s">
        <v>174</v>
      </c>
      <c r="B23" s="6">
        <v>31961</v>
      </c>
      <c r="C23" s="6">
        <v>3491</v>
      </c>
    </row>
    <row r="24" spans="1:3" x14ac:dyDescent="0.3">
      <c r="A24" s="15" t="s">
        <v>108</v>
      </c>
      <c r="B24" s="6">
        <f>313+4185</f>
        <v>4498</v>
      </c>
      <c r="C24" s="6">
        <f>4396+13762+4582-17718.75-1900</f>
        <v>3121.25</v>
      </c>
    </row>
    <row r="25" spans="1:3" x14ac:dyDescent="0.3">
      <c r="A25" s="15" t="s">
        <v>165</v>
      </c>
      <c r="B25" s="6">
        <v>33982</v>
      </c>
      <c r="C25" s="6">
        <v>31326</v>
      </c>
    </row>
    <row r="26" spans="1:3" x14ac:dyDescent="0.3">
      <c r="A26" s="12" t="s">
        <v>31</v>
      </c>
      <c r="B26" s="14">
        <f>SUM(B16:B25)</f>
        <v>1072409</v>
      </c>
      <c r="C26" s="14">
        <f>SUM(C16:C25)</f>
        <v>246066.092087</v>
      </c>
    </row>
    <row r="27" spans="1:3" x14ac:dyDescent="0.3">
      <c r="A27" s="5"/>
      <c r="B27" s="6"/>
      <c r="C27" s="6"/>
    </row>
    <row r="28" spans="1:3" ht="14.5" thickBot="1" x14ac:dyDescent="0.35">
      <c r="A28" s="29" t="s">
        <v>32</v>
      </c>
      <c r="B28" s="31">
        <f>B13-B26</f>
        <v>-883975</v>
      </c>
      <c r="C28" s="31">
        <f>C13-C26</f>
        <v>87373.907913000003</v>
      </c>
    </row>
    <row r="29" spans="1:3" x14ac:dyDescent="0.3">
      <c r="A29" s="5"/>
      <c r="B29" s="6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4"/>
  <sheetViews>
    <sheetView workbookViewId="0">
      <selection activeCell="B10" sqref="B10"/>
    </sheetView>
  </sheetViews>
  <sheetFormatPr baseColWidth="10" defaultRowHeight="14" x14ac:dyDescent="0.3"/>
  <cols>
    <col min="1" max="1" width="40.453125" customWidth="1"/>
    <col min="2" max="2" width="18" customWidth="1"/>
  </cols>
  <sheetData>
    <row r="1" spans="1:3" ht="23.5" x14ac:dyDescent="0.55000000000000004">
      <c r="A1" s="227" t="str">
        <f>+Forside!B12</f>
        <v>Kråkstad Idrettslag</v>
      </c>
      <c r="B1" s="228"/>
      <c r="C1" s="5"/>
    </row>
    <row r="2" spans="1:3" ht="18.5" x14ac:dyDescent="0.3">
      <c r="A2" s="229" t="s">
        <v>157</v>
      </c>
      <c r="B2" s="228"/>
      <c r="C2" s="5"/>
    </row>
    <row r="3" spans="1:3" ht="18.5" x14ac:dyDescent="0.3">
      <c r="A3" s="229" t="s">
        <v>79</v>
      </c>
      <c r="B3" s="228"/>
      <c r="C3" s="5"/>
    </row>
    <row r="4" spans="1:3" ht="18.5" x14ac:dyDescent="0.45">
      <c r="A4" s="226"/>
      <c r="B4" s="226"/>
      <c r="C4" s="5"/>
    </row>
    <row r="5" spans="1:3" x14ac:dyDescent="0.3">
      <c r="A5" s="5"/>
      <c r="B5" s="6"/>
      <c r="C5" s="5"/>
    </row>
    <row r="6" spans="1:3" x14ac:dyDescent="0.3">
      <c r="A6" s="9" t="s">
        <v>29</v>
      </c>
      <c r="B6" s="211">
        <v>2019</v>
      </c>
      <c r="C6" s="211">
        <v>2018</v>
      </c>
    </row>
    <row r="7" spans="1:3" x14ac:dyDescent="0.3">
      <c r="A7" s="5"/>
      <c r="B7" s="6"/>
      <c r="C7" s="6"/>
    </row>
    <row r="8" spans="1:3" x14ac:dyDescent="0.3">
      <c r="A8" s="11" t="s">
        <v>105</v>
      </c>
      <c r="B8" s="6"/>
      <c r="C8" s="6"/>
    </row>
    <row r="9" spans="1:3" x14ac:dyDescent="0.3">
      <c r="A9" s="5" t="s">
        <v>158</v>
      </c>
      <c r="B9" s="6">
        <f>22351+127589+32480</f>
        <v>182420</v>
      </c>
      <c r="C9" s="6">
        <f>2970+101151</f>
        <v>104121</v>
      </c>
    </row>
    <row r="10" spans="1:3" x14ac:dyDescent="0.3">
      <c r="A10" s="5" t="s">
        <v>159</v>
      </c>
      <c r="B10" s="6">
        <v>108225</v>
      </c>
      <c r="C10" s="6">
        <v>137250</v>
      </c>
    </row>
    <row r="11" spans="1:3" x14ac:dyDescent="0.3">
      <c r="A11" s="5" t="s">
        <v>160</v>
      </c>
      <c r="B11" s="6">
        <v>55344</v>
      </c>
      <c r="C11" s="6">
        <v>45093</v>
      </c>
    </row>
    <row r="12" spans="1:3" x14ac:dyDescent="0.3">
      <c r="A12" s="24" t="s">
        <v>123</v>
      </c>
      <c r="B12" s="6">
        <v>10857</v>
      </c>
      <c r="C12" s="6">
        <v>30524</v>
      </c>
    </row>
    <row r="13" spans="1:3" x14ac:dyDescent="0.3">
      <c r="A13" s="24" t="s">
        <v>204</v>
      </c>
      <c r="B13" s="217">
        <v>50000</v>
      </c>
      <c r="C13" s="217">
        <v>0</v>
      </c>
    </row>
    <row r="14" spans="1:3" x14ac:dyDescent="0.3">
      <c r="A14" s="12" t="s">
        <v>10</v>
      </c>
      <c r="B14" s="14">
        <f>SUM(B9:B13)</f>
        <v>406846</v>
      </c>
      <c r="C14" s="14">
        <f>SUM(C9:C13)</f>
        <v>316988</v>
      </c>
    </row>
    <row r="15" spans="1:3" x14ac:dyDescent="0.3">
      <c r="A15" s="5"/>
      <c r="B15" s="6"/>
      <c r="C15" s="6"/>
    </row>
    <row r="16" spans="1:3" x14ac:dyDescent="0.3">
      <c r="A16" s="11" t="s">
        <v>106</v>
      </c>
      <c r="B16" s="6"/>
      <c r="C16" s="6"/>
    </row>
    <row r="17" spans="1:3" x14ac:dyDescent="0.3">
      <c r="A17" s="5" t="s">
        <v>195</v>
      </c>
      <c r="B17" s="6"/>
      <c r="C17" s="6">
        <v>57220</v>
      </c>
    </row>
    <row r="18" spans="1:3" x14ac:dyDescent="0.3">
      <c r="A18" s="15" t="s">
        <v>161</v>
      </c>
      <c r="B18" s="6">
        <v>36000</v>
      </c>
      <c r="C18" s="6">
        <f>1470+36365+0</f>
        <v>37835</v>
      </c>
    </row>
    <row r="19" spans="1:3" x14ac:dyDescent="0.3">
      <c r="A19" s="15" t="s">
        <v>203</v>
      </c>
      <c r="B19" s="6">
        <v>29479</v>
      </c>
      <c r="C19" s="6">
        <v>100000</v>
      </c>
    </row>
    <row r="20" spans="1:3" x14ac:dyDescent="0.3">
      <c r="A20" s="15" t="s">
        <v>162</v>
      </c>
      <c r="B20" s="6">
        <v>5000</v>
      </c>
      <c r="C20" s="6">
        <v>6000</v>
      </c>
    </row>
    <row r="21" spans="1:3" x14ac:dyDescent="0.3">
      <c r="A21" s="15" t="s">
        <v>205</v>
      </c>
      <c r="B21" s="6">
        <f>3410+8460</f>
        <v>11870</v>
      </c>
      <c r="C21" s="6">
        <v>9010</v>
      </c>
    </row>
    <row r="22" spans="1:3" x14ac:dyDescent="0.3">
      <c r="A22" s="15" t="s">
        <v>163</v>
      </c>
      <c r="B22" s="6">
        <f>11300+71313</f>
        <v>82613</v>
      </c>
      <c r="C22" s="6">
        <v>75698</v>
      </c>
    </row>
    <row r="23" spans="1:3" x14ac:dyDescent="0.3">
      <c r="A23" s="15" t="s">
        <v>145</v>
      </c>
      <c r="B23" s="6">
        <f>15047+31094</f>
        <v>46141</v>
      </c>
      <c r="C23" s="6">
        <f>17818+19299</f>
        <v>37117</v>
      </c>
    </row>
    <row r="24" spans="1:3" x14ac:dyDescent="0.3">
      <c r="A24" s="15" t="s">
        <v>146</v>
      </c>
      <c r="B24" s="6"/>
      <c r="C24" s="6">
        <v>16800</v>
      </c>
    </row>
    <row r="25" spans="1:3" x14ac:dyDescent="0.3">
      <c r="A25" s="15" t="s">
        <v>164</v>
      </c>
      <c r="B25" s="6">
        <f>45603+4500</f>
        <v>50103</v>
      </c>
      <c r="C25" s="6">
        <f>90959+14600</f>
        <v>105559</v>
      </c>
    </row>
    <row r="26" spans="1:3" x14ac:dyDescent="0.3">
      <c r="A26" s="15" t="s">
        <v>165</v>
      </c>
      <c r="B26" s="6">
        <v>13200</v>
      </c>
      <c r="C26" s="6">
        <v>19850</v>
      </c>
    </row>
    <row r="27" spans="1:3" x14ac:dyDescent="0.3">
      <c r="A27" s="15" t="s">
        <v>149</v>
      </c>
      <c r="B27" s="6"/>
      <c r="C27" s="6">
        <v>0</v>
      </c>
    </row>
    <row r="28" spans="1:3" x14ac:dyDescent="0.3">
      <c r="A28" s="24" t="s">
        <v>15</v>
      </c>
      <c r="B28" s="6">
        <v>900</v>
      </c>
      <c r="C28" s="6">
        <f>3728+14452+70</f>
        <v>18250</v>
      </c>
    </row>
    <row r="29" spans="1:3" x14ac:dyDescent="0.3">
      <c r="A29" s="12" t="s">
        <v>31</v>
      </c>
      <c r="B29" s="14">
        <f>SUM(B17:B28)</f>
        <v>275306</v>
      </c>
      <c r="C29" s="14">
        <f>SUM(C17:C28)</f>
        <v>483339</v>
      </c>
    </row>
    <row r="30" spans="1:3" x14ac:dyDescent="0.3">
      <c r="A30" s="5"/>
      <c r="B30" s="6"/>
      <c r="C30" s="6"/>
    </row>
    <row r="31" spans="1:3" ht="14.5" thickBot="1" x14ac:dyDescent="0.35">
      <c r="A31" s="29" t="s">
        <v>32</v>
      </c>
      <c r="B31" s="31">
        <f>B14-B29</f>
        <v>131540</v>
      </c>
      <c r="C31" s="31">
        <f>C14-C29</f>
        <v>-166351</v>
      </c>
    </row>
    <row r="32" spans="1:3" x14ac:dyDescent="0.3">
      <c r="A32" s="5"/>
      <c r="B32" s="6"/>
      <c r="C32" s="78"/>
    </row>
    <row r="33" spans="1:3" x14ac:dyDescent="0.3">
      <c r="A33" s="5"/>
      <c r="B33" s="6"/>
      <c r="C33" s="78"/>
    </row>
    <row r="34" spans="1:3" x14ac:dyDescent="0.3">
      <c r="A34" s="24"/>
      <c r="B34" s="23"/>
      <c r="C34" s="24"/>
    </row>
  </sheetData>
  <mergeCells count="4">
    <mergeCell ref="A1:B1"/>
    <mergeCell ref="A3:B3"/>
    <mergeCell ref="A4:B4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14</vt:i4>
      </vt:variant>
    </vt:vector>
  </HeadingPairs>
  <TitlesOfParts>
    <vt:vector size="21" baseType="lpstr">
      <vt:lpstr>Forside</vt:lpstr>
      <vt:lpstr>Resultat</vt:lpstr>
      <vt:lpstr>Balanse</vt:lpstr>
      <vt:lpstr>Noter </vt:lpstr>
      <vt:lpstr>Hovedlag</vt:lpstr>
      <vt:lpstr>Anlegg</vt:lpstr>
      <vt:lpstr>Fotball</vt:lpstr>
      <vt:lpstr>Resultat!ffjor</vt:lpstr>
      <vt:lpstr>note_1</vt:lpstr>
      <vt:lpstr>note_14</vt:lpstr>
      <vt:lpstr>note_15</vt:lpstr>
      <vt:lpstr>note_19</vt:lpstr>
      <vt:lpstr>note_4</vt:lpstr>
      <vt:lpstr>Resultat!områderes</vt:lpstr>
      <vt:lpstr>text_1</vt:lpstr>
      <vt:lpstr>text_14</vt:lpstr>
      <vt:lpstr>Balanse!Utskriftsområde</vt:lpstr>
      <vt:lpstr>'Noter '!Utskriftsområde</vt:lpstr>
      <vt:lpstr>Resultat!Utskriftsområde</vt:lpstr>
      <vt:lpstr>Balanse!Utskriftstitler</vt:lpstr>
      <vt:lpstr>'Noter 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Birger</dc:creator>
  <cp:lastModifiedBy>Bruker</cp:lastModifiedBy>
  <cp:lastPrinted>2020-02-26T09:05:56Z</cp:lastPrinted>
  <dcterms:created xsi:type="dcterms:W3CDTF">1997-05-22T19:54:11Z</dcterms:created>
  <dcterms:modified xsi:type="dcterms:W3CDTF">2020-05-13T12:31:03Z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