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\Documents\RIL FERDIG REVIDERING REGNSKAP\Revisjon regnskapsåret 2015\Regnskap til årsmøtet 2016\"/>
    </mc:Choice>
  </mc:AlternateContent>
  <bookViews>
    <workbookView xWindow="0" yWindow="0" windowWidth="20490" windowHeight="7755"/>
  </bookViews>
  <sheets>
    <sheet name="Regnskap 2015, budsjett  2016" sheetId="4" r:id="rId1"/>
    <sheet name="Vedlegg budsjett etter el 2016" sheetId="3" r:id="rId2"/>
    <sheet name="Vedlegg regnskap etter el 2015" sheetId="2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4" l="1"/>
  <c r="K121" i="2"/>
  <c r="K129" i="2" s="1"/>
  <c r="K130" i="2" s="1"/>
  <c r="B66" i="4"/>
  <c r="K113" i="2"/>
  <c r="K117" i="2" l="1"/>
  <c r="F49" i="2" l="1"/>
  <c r="D71" i="4" l="1"/>
  <c r="D73" i="4" s="1"/>
  <c r="B71" i="4"/>
  <c r="B73" i="4" s="1"/>
  <c r="D61" i="4"/>
  <c r="D63" i="4" s="1"/>
  <c r="D60" i="4"/>
  <c r="B60" i="4"/>
  <c r="B58" i="4"/>
  <c r="B61" i="4" s="1"/>
  <c r="B63" i="4" s="1"/>
  <c r="F31" i="4"/>
  <c r="B31" i="4"/>
  <c r="F30" i="4"/>
  <c r="F29" i="4"/>
  <c r="H22" i="4"/>
  <c r="H25" i="4" s="1"/>
  <c r="D22" i="4"/>
  <c r="F21" i="4"/>
  <c r="F22" i="4" s="1"/>
  <c r="F25" i="4" s="1"/>
  <c r="F34" i="4" s="1"/>
  <c r="B21" i="4"/>
  <c r="B20" i="4"/>
  <c r="H15" i="4"/>
  <c r="F15" i="4"/>
  <c r="D15" i="4"/>
  <c r="D25" i="4" s="1"/>
  <c r="B14" i="4"/>
  <c r="B13" i="4"/>
  <c r="B12" i="4"/>
  <c r="B11" i="4"/>
  <c r="B10" i="4"/>
  <c r="J85" i="3"/>
  <c r="I85" i="3"/>
  <c r="H85" i="3"/>
  <c r="G85" i="3"/>
  <c r="F85" i="3"/>
  <c r="E85" i="3"/>
  <c r="D85" i="3"/>
  <c r="C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I67" i="3"/>
  <c r="H67" i="3"/>
  <c r="G67" i="3"/>
  <c r="E67" i="3"/>
  <c r="D67" i="3"/>
  <c r="C67" i="3"/>
  <c r="K64" i="3"/>
  <c r="K61" i="3"/>
  <c r="K60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J42" i="3"/>
  <c r="J67" i="3" s="1"/>
  <c r="K41" i="3"/>
  <c r="K40" i="3"/>
  <c r="K39" i="3"/>
  <c r="K38" i="3"/>
  <c r="K37" i="3"/>
  <c r="F36" i="3"/>
  <c r="F67" i="3" s="1"/>
  <c r="J28" i="3"/>
  <c r="I28" i="3"/>
  <c r="I87" i="3" s="1"/>
  <c r="H28" i="3"/>
  <c r="H87" i="3" s="1"/>
  <c r="G28" i="3"/>
  <c r="G87" i="3" s="1"/>
  <c r="E28" i="3"/>
  <c r="E87" i="3" s="1"/>
  <c r="D28" i="3"/>
  <c r="D87" i="3" s="1"/>
  <c r="C28" i="3"/>
  <c r="C87" i="3" s="1"/>
  <c r="K27" i="3"/>
  <c r="K26" i="3"/>
  <c r="K25" i="3"/>
  <c r="K24" i="3"/>
  <c r="K22" i="3"/>
  <c r="K21" i="3"/>
  <c r="K20" i="3"/>
  <c r="K19" i="3"/>
  <c r="K18" i="3"/>
  <c r="K16" i="3"/>
  <c r="K15" i="3"/>
  <c r="K14" i="3"/>
  <c r="K13" i="3"/>
  <c r="K12" i="3"/>
  <c r="K11" i="3"/>
  <c r="K10" i="3"/>
  <c r="K9" i="3"/>
  <c r="K8" i="3"/>
  <c r="K7" i="3"/>
  <c r="K6" i="3"/>
  <c r="F6" i="3"/>
  <c r="F28" i="3" s="1"/>
  <c r="F87" i="3" s="1"/>
  <c r="K5" i="3"/>
  <c r="K4" i="3"/>
  <c r="K3" i="3"/>
  <c r="K28" i="3" s="1"/>
  <c r="J129" i="2"/>
  <c r="I129" i="2"/>
  <c r="H129" i="2"/>
  <c r="G129" i="2"/>
  <c r="F129" i="2"/>
  <c r="E129" i="2"/>
  <c r="D129" i="2"/>
  <c r="C129" i="2"/>
  <c r="K122" i="2"/>
  <c r="J113" i="2"/>
  <c r="H113" i="2"/>
  <c r="E113" i="2"/>
  <c r="D113" i="2"/>
  <c r="C113" i="2"/>
  <c r="I112" i="2"/>
  <c r="I113" i="2" s="1"/>
  <c r="G112" i="2"/>
  <c r="F112" i="2"/>
  <c r="E112" i="2"/>
  <c r="G111" i="2"/>
  <c r="K111" i="2" s="1"/>
  <c r="F111" i="2"/>
  <c r="G108" i="2"/>
  <c r="F108" i="2"/>
  <c r="F113" i="2" s="1"/>
  <c r="K107" i="2"/>
  <c r="K106" i="2"/>
  <c r="J93" i="2"/>
  <c r="I93" i="2"/>
  <c r="H93" i="2"/>
  <c r="G93" i="2"/>
  <c r="F93" i="2"/>
  <c r="D93" i="2"/>
  <c r="C93" i="2"/>
  <c r="E92" i="2"/>
  <c r="E93" i="2" s="1"/>
  <c r="K91" i="2"/>
  <c r="K90" i="2"/>
  <c r="K89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C69" i="2"/>
  <c r="C84" i="2" s="1"/>
  <c r="J67" i="2"/>
  <c r="J69" i="2" s="1"/>
  <c r="J84" i="2" s="1"/>
  <c r="I67" i="2"/>
  <c r="I69" i="2" s="1"/>
  <c r="I84" i="2" s="1"/>
  <c r="H67" i="2"/>
  <c r="H69" i="2" s="1"/>
  <c r="H84" i="2" s="1"/>
  <c r="G67" i="2"/>
  <c r="G69" i="2" s="1"/>
  <c r="G84" i="2" s="1"/>
  <c r="D67" i="2"/>
  <c r="D69" i="2" s="1"/>
  <c r="D84" i="2" s="1"/>
  <c r="C67" i="2"/>
  <c r="K66" i="2"/>
  <c r="K63" i="2"/>
  <c r="K60" i="2"/>
  <c r="K59" i="2"/>
  <c r="K57" i="2"/>
  <c r="K56" i="2"/>
  <c r="K55" i="2"/>
  <c r="K54" i="2"/>
  <c r="K53" i="2"/>
  <c r="K52" i="2"/>
  <c r="K51" i="2"/>
  <c r="K50" i="2"/>
  <c r="F67" i="2"/>
  <c r="F69" i="2" s="1"/>
  <c r="F84" i="2" s="1"/>
  <c r="E49" i="2"/>
  <c r="K49" i="2" s="1"/>
  <c r="K48" i="2"/>
  <c r="K47" i="2"/>
  <c r="K46" i="2"/>
  <c r="K45" i="2"/>
  <c r="K44" i="2"/>
  <c r="K43" i="2"/>
  <c r="K42" i="2"/>
  <c r="K41" i="2"/>
  <c r="K40" i="2"/>
  <c r="K39" i="2"/>
  <c r="K38" i="2"/>
  <c r="K37" i="2"/>
  <c r="E36" i="2"/>
  <c r="K36" i="2" s="1"/>
  <c r="J27" i="2"/>
  <c r="J86" i="2" s="1"/>
  <c r="J95" i="2" s="1"/>
  <c r="J116" i="2" s="1"/>
  <c r="J118" i="2" s="1"/>
  <c r="J130" i="2" s="1"/>
  <c r="H27" i="2"/>
  <c r="G27" i="2"/>
  <c r="D27" i="2"/>
  <c r="C27" i="2"/>
  <c r="K26" i="2"/>
  <c r="K25" i="2"/>
  <c r="F24" i="2"/>
  <c r="K24" i="2" s="1"/>
  <c r="K23" i="2"/>
  <c r="K21" i="2"/>
  <c r="K20" i="2"/>
  <c r="I19" i="2"/>
  <c r="I27" i="2" s="1"/>
  <c r="I86" i="2" s="1"/>
  <c r="I95" i="2" s="1"/>
  <c r="I116" i="2" s="1"/>
  <c r="I118" i="2" s="1"/>
  <c r="I130" i="2" s="1"/>
  <c r="K18" i="2"/>
  <c r="K16" i="2"/>
  <c r="K14" i="2"/>
  <c r="K13" i="2"/>
  <c r="K11" i="2"/>
  <c r="K9" i="2"/>
  <c r="K8" i="2"/>
  <c r="K7" i="2"/>
  <c r="E6" i="2"/>
  <c r="E27" i="2" s="1"/>
  <c r="K5" i="2"/>
  <c r="K4" i="2"/>
  <c r="K3" i="2"/>
  <c r="B15" i="4" l="1"/>
  <c r="B22" i="4"/>
  <c r="K36" i="3"/>
  <c r="K67" i="3" s="1"/>
  <c r="K85" i="3"/>
  <c r="K87" i="3" s="1"/>
  <c r="J87" i="3"/>
  <c r="C86" i="2"/>
  <c r="C95" i="2" s="1"/>
  <c r="C116" i="2" s="1"/>
  <c r="C118" i="2" s="1"/>
  <c r="C130" i="2" s="1"/>
  <c r="H86" i="2"/>
  <c r="H95" i="2" s="1"/>
  <c r="H116" i="2" s="1"/>
  <c r="H118" i="2" s="1"/>
  <c r="H130" i="2" s="1"/>
  <c r="G113" i="2"/>
  <c r="K112" i="2"/>
  <c r="F27" i="2"/>
  <c r="D86" i="2"/>
  <c r="D95" i="2" s="1"/>
  <c r="D116" i="2" s="1"/>
  <c r="D118" i="2" s="1"/>
  <c r="D130" i="2" s="1"/>
  <c r="F86" i="2"/>
  <c r="F95" i="2" s="1"/>
  <c r="F116" i="2" s="1"/>
  <c r="F118" i="2" s="1"/>
  <c r="F130" i="2" s="1"/>
  <c r="K67" i="2"/>
  <c r="K69" i="2" s="1"/>
  <c r="K84" i="2" s="1"/>
  <c r="G86" i="2"/>
  <c r="G95" i="2" s="1"/>
  <c r="G116" i="2" s="1"/>
  <c r="G118" i="2" s="1"/>
  <c r="G130" i="2" s="1"/>
  <c r="K19" i="2"/>
  <c r="E67" i="2"/>
  <c r="E69" i="2" s="1"/>
  <c r="E84" i="2" s="1"/>
  <c r="E86" i="2" s="1"/>
  <c r="E95" i="2" s="1"/>
  <c r="E116" i="2" s="1"/>
  <c r="E118" i="2" s="1"/>
  <c r="E130" i="2" s="1"/>
  <c r="K92" i="2"/>
  <c r="K93" i="2" s="1"/>
  <c r="K108" i="2"/>
  <c r="K6" i="2"/>
  <c r="B25" i="4" l="1"/>
  <c r="B34" i="4" s="1"/>
  <c r="K27" i="2"/>
  <c r="K86" i="2" s="1"/>
  <c r="K95" i="2" s="1"/>
  <c r="K116" i="2" s="1"/>
  <c r="K118" i="2" s="1"/>
</calcChain>
</file>

<file path=xl/sharedStrings.xml><?xml version="1.0" encoding="utf-8"?>
<sst xmlns="http://schemas.openxmlformats.org/spreadsheetml/2006/main" count="345" uniqueCount="169">
  <si>
    <t>INNTEKTER</t>
  </si>
  <si>
    <t>H-kassa</t>
  </si>
  <si>
    <t>Aerobic</t>
  </si>
  <si>
    <t>Fotball</t>
  </si>
  <si>
    <t>Håndball</t>
  </si>
  <si>
    <t>Innebandy</t>
  </si>
  <si>
    <t>O- og trim</t>
  </si>
  <si>
    <t>Turn</t>
  </si>
  <si>
    <t>Hallen</t>
  </si>
  <si>
    <t>Totalt</t>
  </si>
  <si>
    <t>Salg av materiell</t>
  </si>
  <si>
    <t>Sponsorer</t>
  </si>
  <si>
    <t>Provisjon Ullmax</t>
  </si>
  <si>
    <t>Stevneinntekter egne arr.</t>
  </si>
  <si>
    <t>Salgsinntekter</t>
  </si>
  <si>
    <t>Overkvote dommere</t>
  </si>
  <si>
    <t>Offentlige tilskudd</t>
  </si>
  <si>
    <t>Romsås cup</t>
  </si>
  <si>
    <t>Leieinntekter</t>
  </si>
  <si>
    <t>LAM via OIK - Hovedkassa</t>
  </si>
  <si>
    <t>LAM via OIK - Gruppene</t>
  </si>
  <si>
    <t>el</t>
  </si>
  <si>
    <t>Andre inntekter</t>
  </si>
  <si>
    <t>Hodestøtte fra OIK - H.kassa</t>
  </si>
  <si>
    <t>Sum inntekter</t>
  </si>
  <si>
    <t>Hodestøtte fra OIK - Gruppene</t>
  </si>
  <si>
    <t>Driftstilskudd baner</t>
  </si>
  <si>
    <t>Momsrefusjon - hovedkassa</t>
  </si>
  <si>
    <t>KOSTNADER</t>
  </si>
  <si>
    <t>Momsrefusjon - gruppene</t>
  </si>
  <si>
    <t>Varekostnader</t>
  </si>
  <si>
    <t>Grasrotmidl - hovedkassa</t>
  </si>
  <si>
    <t>Andre driftskostnader</t>
  </si>
  <si>
    <t>Grosrotmidl - gruppene</t>
  </si>
  <si>
    <t>Lotteri, bingo etc Hovedkassa</t>
  </si>
  <si>
    <t>Lotteri, bingo etc gruppene</t>
  </si>
  <si>
    <t>Dugnad</t>
  </si>
  <si>
    <t>Vakthold fra hallen</t>
  </si>
  <si>
    <t>Medlemskontingent - hovedkassa</t>
  </si>
  <si>
    <t>Aktivitetsavgift - gruppene</t>
  </si>
  <si>
    <t>Egenandel stevner</t>
  </si>
  <si>
    <t>Div inntekter</t>
  </si>
  <si>
    <t>SUM DRIFTINNTEKTER</t>
  </si>
  <si>
    <t>Stevnekostander egne arr</t>
  </si>
  <si>
    <t>Dommere, garderobeavg</t>
  </si>
  <si>
    <t>Premier egne stevner</t>
  </si>
  <si>
    <t>Sekretariatk.</t>
  </si>
  <si>
    <t>Humleby</t>
  </si>
  <si>
    <t>Lokalleie</t>
  </si>
  <si>
    <t>Vedlikehold anlegg</t>
  </si>
  <si>
    <t>Vedlikehold utstyr</t>
  </si>
  <si>
    <t>Vedlikehold, drift data, kopim</t>
  </si>
  <si>
    <t>Kjøp datautstyr &lt; kr. 3000</t>
  </si>
  <si>
    <t>Revisor</t>
  </si>
  <si>
    <t>Ullmax</t>
  </si>
  <si>
    <t>Styremøtekostnader</t>
  </si>
  <si>
    <t>Administrasjonskostnader</t>
  </si>
  <si>
    <t>Mamuth AS / Bypass</t>
  </si>
  <si>
    <t>Adm. Kurs</t>
  </si>
  <si>
    <t>Telefon / Porto</t>
  </si>
  <si>
    <t>Datautgifter, bredbånd, hjemmeside</t>
  </si>
  <si>
    <t>Lotteri</t>
  </si>
  <si>
    <t>Annonser - reklame</t>
  </si>
  <si>
    <t>Trening, instruksjon</t>
  </si>
  <si>
    <t>Materiell for salg</t>
  </si>
  <si>
    <t>Overf. Gruppene LAM</t>
  </si>
  <si>
    <t>Medl.kontingent til andre</t>
  </si>
  <si>
    <t xml:space="preserve">Gaver / blomster </t>
  </si>
  <si>
    <t>overf gruppene hodestøtte</t>
  </si>
  <si>
    <t>overf gruppene Grasrot</t>
  </si>
  <si>
    <t>Tilskudd særforbund/krets</t>
  </si>
  <si>
    <t xml:space="preserve">MOMS-komp. overf gruppene </t>
  </si>
  <si>
    <t>Overf gruppene lotteri/bingo</t>
  </si>
  <si>
    <t>Overf gruppene vakthold</t>
  </si>
  <si>
    <t>Sum driftskostnader til overføring</t>
  </si>
  <si>
    <t>KOSTNADER FORTSETTER</t>
  </si>
  <si>
    <t>Forsikringer</t>
  </si>
  <si>
    <t>Utbetaling til lag fra dugn./sponsork.</t>
  </si>
  <si>
    <t>Bøter</t>
  </si>
  <si>
    <t>Gebyrer</t>
  </si>
  <si>
    <t>Idrettsutstyr, rekvisita</t>
  </si>
  <si>
    <t>Draktkjøp</t>
  </si>
  <si>
    <t>lege/medisinsk utstyr</t>
  </si>
  <si>
    <t>Overganger</t>
  </si>
  <si>
    <t xml:space="preserve"> </t>
  </si>
  <si>
    <t>Idrettsfaglig utdanning, kurs</t>
  </si>
  <si>
    <t>Deltagelse andre stevner</t>
  </si>
  <si>
    <t>Sosiale kostnader</t>
  </si>
  <si>
    <t>Tap på fordringer</t>
  </si>
  <si>
    <t>Tap på aktivitetsavgift</t>
  </si>
  <si>
    <t>Div. kostnader</t>
  </si>
  <si>
    <t>SUM DRIFTSKOSTNADER</t>
  </si>
  <si>
    <t>SUM DRIFTSRESULTAT</t>
  </si>
  <si>
    <t>FINANSINNTEKTER/UTGIFTER</t>
  </si>
  <si>
    <t>Renteinntekter</t>
  </si>
  <si>
    <t>Gebyrinntekter</t>
  </si>
  <si>
    <t>Rentekostnader</t>
  </si>
  <si>
    <t>Andre finanskostn, p.gebyr</t>
  </si>
  <si>
    <t>SUM FINANSINT- OG KOSTNADER</t>
  </si>
  <si>
    <t>ÅRSRESULTAT</t>
  </si>
  <si>
    <t>EIENDELER</t>
  </si>
  <si>
    <t>OMLØPSMIDLER</t>
  </si>
  <si>
    <t>Varer på lager - kiosk</t>
  </si>
  <si>
    <t>Varer på lager.</t>
  </si>
  <si>
    <t>Fordringer</t>
  </si>
  <si>
    <t>Fordringer Hovedkassa</t>
  </si>
  <si>
    <t>Fordringer Hallen</t>
  </si>
  <si>
    <t>Kontanskasse</t>
  </si>
  <si>
    <t>Bank</t>
  </si>
  <si>
    <t>SUM OMLØPSMIDLER / Eiendeler</t>
  </si>
  <si>
    <t>GJELD OG EGENKAPITAL</t>
  </si>
  <si>
    <t>Årsresultat</t>
  </si>
  <si>
    <t>Fremført resultat</t>
  </si>
  <si>
    <t>RESULTAT TIL FREMFØRING</t>
  </si>
  <si>
    <t>Kortsiktig gjeld</t>
  </si>
  <si>
    <t>Leverandørgjeld</t>
  </si>
  <si>
    <t>Gjeld til  Aerobicgruppa</t>
  </si>
  <si>
    <t>Gjeld til  Fotballgruppa</t>
  </si>
  <si>
    <t>Gjeld til  Håndballgruppa</t>
  </si>
  <si>
    <t>Gjeld til  Innebandygruppa</t>
  </si>
  <si>
    <t>Gjeld til  O-Trimgruppa</t>
  </si>
  <si>
    <t>Gjeld til  Turngruppa</t>
  </si>
  <si>
    <t>SUM KORTSIKTIG GJELD / GJELD</t>
  </si>
  <si>
    <t>SUM TOTALKAPITAL</t>
  </si>
  <si>
    <t>Tilskudd fra særkrets</t>
  </si>
  <si>
    <t>SUM BUDSJETTERTE  DRIFTINNTEKTER</t>
  </si>
  <si>
    <t>Hall/bane/garderobe-leie</t>
  </si>
  <si>
    <t>Diverse kostnader</t>
  </si>
  <si>
    <t>Gaver</t>
  </si>
  <si>
    <t>SUM DRIFTSKOSTNADER TIL OVERFØRING</t>
  </si>
  <si>
    <t>SUM DRIFTSKOSTNADER OVERFØRT</t>
  </si>
  <si>
    <t>Utbetaling til lag fra dugn./sponsor konto</t>
  </si>
  <si>
    <t xml:space="preserve">Tap på treningsavgift </t>
  </si>
  <si>
    <t>SUM BUDSETERTE DRIFTSKOSTNADER</t>
  </si>
  <si>
    <t>SUM BUDSJETERTE DRIFTSRESULTAT</t>
  </si>
  <si>
    <t>TOTALREGNSKAP ROMSÅS IDRETTSLAG   2015</t>
  </si>
  <si>
    <t>Resultatregnskap</t>
  </si>
  <si>
    <t>Resultat</t>
  </si>
  <si>
    <t>Budsjett</t>
  </si>
  <si>
    <t>Lotteri og Bingo</t>
  </si>
  <si>
    <t>Sum drirftskostnader</t>
  </si>
  <si>
    <t>Driftsresultat</t>
  </si>
  <si>
    <t>Finnansinntekter / utgifter</t>
  </si>
  <si>
    <t>Rente- og gebyr inntekter</t>
  </si>
  <si>
    <t>Rente og gebyr kostnader</t>
  </si>
  <si>
    <t>Sum Finanskostnader</t>
  </si>
  <si>
    <t>TOTALBALANSE ROMSÅS IDRETTSLAG  2015</t>
  </si>
  <si>
    <t xml:space="preserve">Varer på lager </t>
  </si>
  <si>
    <t>SUM OMLØPSMIDLER</t>
  </si>
  <si>
    <t>SUM EIENDELER</t>
  </si>
  <si>
    <t>Opptjent egenkapital</t>
  </si>
  <si>
    <t>Gjeld</t>
  </si>
  <si>
    <t>Sum gjeld</t>
  </si>
  <si>
    <t>__________________</t>
  </si>
  <si>
    <t>Sissel Smeby /s</t>
  </si>
  <si>
    <t>Kjell Kristiansen /s</t>
  </si>
  <si>
    <t>revisor</t>
  </si>
  <si>
    <t>leder</t>
  </si>
  <si>
    <t>___________________</t>
  </si>
  <si>
    <t>Kai O. Torgvær /s</t>
  </si>
  <si>
    <t>Øystein Helland /s</t>
  </si>
  <si>
    <t>nestleder</t>
  </si>
  <si>
    <t>styremedlem</t>
  </si>
  <si>
    <t>kasserer</t>
  </si>
  <si>
    <t>BALANSE</t>
  </si>
  <si>
    <t>Ellen Vera Haug /s</t>
  </si>
  <si>
    <t>sekretær</t>
  </si>
  <si>
    <t>L. Skaramyren /s</t>
  </si>
  <si>
    <t>Oslo, 03.03.2016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</si>
</sst>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_(* #,##0_);_(* \(#,##0\);_(* &quot;-&quot;??_);_(@_)"/>
    <numFmt numFmtId="166" formatCode="_ * #,##0_ ;_ * \-#,##0_ ;_ * &quot;-&quot;??_ ;_ @_ "/>
    <numFmt numFmtId="167" formatCode="_-* #,##0_-;\-* #,##0_-;_-* &quot;-&quot;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color indexed="12"/>
      <name val="Arial"/>
      <family val="2"/>
    </font>
    <font>
      <b/>
      <sz val="14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4"/>
      <color theme="4"/>
      <name val="Arial"/>
      <family val="2"/>
    </font>
    <font>
      <b/>
      <sz val="1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120">
    <xf numFmtId="0" fontId="0" fillId="0" borderId="0" xfId="0"/>
    <xf numFmtId="0" fontId="4" fillId="0" borderId="1" xfId="0" applyFont="1" applyBorder="1"/>
    <xf numFmtId="0" fontId="5" fillId="0" borderId="1" xfId="0" applyFont="1" applyBorder="1"/>
    <xf numFmtId="165" fontId="4" fillId="0" borderId="0" xfId="1" applyNumberFormat="1" applyFont="1" applyFill="1" applyBorder="1"/>
    <xf numFmtId="0" fontId="4" fillId="0" borderId="0" xfId="0" applyFont="1"/>
    <xf numFmtId="165" fontId="6" fillId="0" borderId="0" xfId="1" applyNumberFormat="1" applyFont="1" applyFill="1"/>
    <xf numFmtId="165" fontId="4" fillId="0" borderId="0" xfId="1" applyNumberFormat="1" applyFont="1" applyFill="1"/>
    <xf numFmtId="165" fontId="4" fillId="0" borderId="0" xfId="1" applyNumberFormat="1" applyFont="1" applyFill="1" applyAlignment="1">
      <alignment horizontal="left"/>
    </xf>
    <xf numFmtId="165" fontId="6" fillId="0" borderId="0" xfId="1" applyNumberFormat="1" applyFont="1"/>
    <xf numFmtId="0" fontId="7" fillId="0" borderId="2" xfId="0" applyFont="1" applyBorder="1"/>
    <xf numFmtId="0" fontId="8" fillId="0" borderId="2" xfId="0" applyFont="1" applyBorder="1"/>
    <xf numFmtId="165" fontId="8" fillId="0" borderId="3" xfId="1" applyNumberFormat="1" applyFont="1" applyFill="1" applyBorder="1"/>
    <xf numFmtId="165" fontId="8" fillId="0" borderId="3" xfId="1" applyNumberFormat="1" applyFont="1" applyBorder="1"/>
    <xf numFmtId="0" fontId="8" fillId="0" borderId="0" xfId="0" applyFont="1"/>
    <xf numFmtId="165" fontId="8" fillId="0" borderId="0" xfId="1" applyNumberFormat="1" applyFont="1"/>
    <xf numFmtId="0" fontId="9" fillId="0" borderId="3" xfId="0" applyFont="1" applyBorder="1"/>
    <xf numFmtId="165" fontId="9" fillId="0" borderId="3" xfId="1" applyNumberFormat="1" applyFont="1" applyFill="1" applyBorder="1"/>
    <xf numFmtId="165" fontId="0" fillId="0" borderId="3" xfId="1" applyNumberFormat="1" applyFont="1" applyFill="1" applyBorder="1"/>
    <xf numFmtId="165" fontId="10" fillId="0" borderId="3" xfId="1" applyNumberFormat="1" applyFont="1" applyFill="1" applyBorder="1"/>
    <xf numFmtId="165" fontId="0" fillId="0" borderId="0" xfId="0" applyNumberFormat="1"/>
    <xf numFmtId="165" fontId="2" fillId="0" borderId="3" xfId="1" applyNumberFormat="1" applyFont="1" applyFill="1" applyBorder="1"/>
    <xf numFmtId="165" fontId="9" fillId="0" borderId="3" xfId="1" applyNumberFormat="1" applyFont="1" applyFill="1" applyBorder="1" applyAlignment="1">
      <alignment horizontal="left"/>
    </xf>
    <xf numFmtId="165" fontId="8" fillId="0" borderId="3" xfId="1" applyNumberFormat="1" applyFont="1" applyFill="1" applyBorder="1" applyAlignment="1">
      <alignment horizontal="left"/>
    </xf>
    <xf numFmtId="0" fontId="9" fillId="0" borderId="0" xfId="0" applyFont="1"/>
    <xf numFmtId="0" fontId="11" fillId="0" borderId="0" xfId="0" applyFont="1"/>
    <xf numFmtId="165" fontId="0" fillId="0" borderId="1" xfId="0" applyNumberFormat="1" applyBorder="1"/>
    <xf numFmtId="165" fontId="9" fillId="0" borderId="3" xfId="1" applyNumberFormat="1" applyFont="1" applyFill="1" applyBorder="1" applyAlignment="1">
      <alignment horizontal="center"/>
    </xf>
    <xf numFmtId="0" fontId="12" fillId="0" borderId="0" xfId="0" applyFont="1"/>
    <xf numFmtId="165" fontId="3" fillId="0" borderId="0" xfId="0" applyNumberFormat="1" applyFont="1"/>
    <xf numFmtId="166" fontId="0" fillId="0" borderId="0" xfId="1" applyNumberFormat="1" applyFont="1"/>
    <xf numFmtId="0" fontId="9" fillId="0" borderId="3" xfId="0" applyFont="1" applyBorder="1" applyAlignment="1">
      <alignment vertical="center"/>
    </xf>
    <xf numFmtId="0" fontId="9" fillId="0" borderId="3" xfId="0" applyFont="1" applyFill="1" applyBorder="1"/>
    <xf numFmtId="0" fontId="0" fillId="0" borderId="3" xfId="0" applyFill="1" applyBorder="1"/>
    <xf numFmtId="0" fontId="9" fillId="0" borderId="4" xfId="0" applyFont="1" applyBorder="1"/>
    <xf numFmtId="0" fontId="8" fillId="0" borderId="2" xfId="0" applyFont="1" applyBorder="1" applyAlignment="1">
      <alignment vertical="center"/>
    </xf>
    <xf numFmtId="165" fontId="8" fillId="0" borderId="2" xfId="1" applyNumberFormat="1" applyFont="1" applyFill="1" applyBorder="1"/>
    <xf numFmtId="165" fontId="8" fillId="0" borderId="2" xfId="1" applyNumberFormat="1" applyFont="1" applyBorder="1"/>
    <xf numFmtId="165" fontId="8" fillId="0" borderId="0" xfId="0" applyNumberFormat="1" applyFont="1"/>
    <xf numFmtId="0" fontId="8" fillId="0" borderId="0" xfId="0" applyFont="1" applyBorder="1"/>
    <xf numFmtId="0" fontId="8" fillId="0" borderId="0" xfId="0" applyFont="1" applyBorder="1" applyAlignment="1">
      <alignment vertical="center"/>
    </xf>
    <xf numFmtId="165" fontId="8" fillId="0" borderId="0" xfId="1" applyNumberFormat="1" applyFont="1" applyFill="1"/>
    <xf numFmtId="165" fontId="8" fillId="0" borderId="0" xfId="1" applyNumberFormat="1" applyFont="1" applyFill="1" applyBorder="1"/>
    <xf numFmtId="0" fontId="7" fillId="0" borderId="3" xfId="0" applyFont="1" applyBorder="1"/>
    <xf numFmtId="0" fontId="8" fillId="0" borderId="3" xfId="0" applyFont="1" applyBorder="1" applyAlignment="1">
      <alignment vertical="center"/>
    </xf>
    <xf numFmtId="0" fontId="9" fillId="0" borderId="3" xfId="0" applyFont="1" applyBorder="1" applyAlignment="1">
      <alignment horizontal="left"/>
    </xf>
    <xf numFmtId="165" fontId="9" fillId="0" borderId="3" xfId="1" applyNumberFormat="1" applyFont="1" applyFill="1" applyBorder="1" applyAlignment="1">
      <alignment horizontal="right"/>
    </xf>
    <xf numFmtId="165" fontId="8" fillId="0" borderId="5" xfId="1" applyNumberFormat="1" applyFont="1" applyBorder="1"/>
    <xf numFmtId="165" fontId="13" fillId="0" borderId="3" xfId="1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vertical="center"/>
    </xf>
    <xf numFmtId="165" fontId="14" fillId="0" borderId="3" xfId="1" applyNumberFormat="1" applyFont="1" applyFill="1" applyBorder="1"/>
    <xf numFmtId="165" fontId="0" fillId="0" borderId="3" xfId="1" applyNumberFormat="1" applyFont="1" applyFill="1" applyBorder="1" applyAlignment="1">
      <alignment horizontal="left"/>
    </xf>
    <xf numFmtId="0" fontId="9" fillId="0" borderId="3" xfId="2" applyBorder="1"/>
    <xf numFmtId="0" fontId="9" fillId="0" borderId="3" xfId="2" applyFont="1" applyBorder="1"/>
    <xf numFmtId="0" fontId="8" fillId="0" borderId="3" xfId="2" applyFont="1" applyBorder="1"/>
    <xf numFmtId="0" fontId="3" fillId="0" borderId="0" xfId="0" applyFont="1"/>
    <xf numFmtId="0" fontId="0" fillId="0" borderId="3" xfId="0" applyBorder="1"/>
    <xf numFmtId="0" fontId="8" fillId="0" borderId="3" xfId="0" applyFont="1" applyFill="1" applyBorder="1"/>
    <xf numFmtId="0" fontId="7" fillId="0" borderId="3" xfId="0" applyFont="1" applyFill="1" applyBorder="1"/>
    <xf numFmtId="0" fontId="9" fillId="0" borderId="4" xfId="0" applyFont="1" applyFill="1" applyBorder="1"/>
    <xf numFmtId="0" fontId="9" fillId="0" borderId="4" xfId="0" applyFont="1" applyBorder="1" applyAlignment="1">
      <alignment vertical="center"/>
    </xf>
    <xf numFmtId="0" fontId="9" fillId="0" borderId="6" xfId="0" applyFont="1" applyBorder="1"/>
    <xf numFmtId="0" fontId="9" fillId="0" borderId="7" xfId="0" applyFont="1" applyBorder="1"/>
    <xf numFmtId="0" fontId="0" fillId="0" borderId="0" xfId="0" applyBorder="1"/>
    <xf numFmtId="0" fontId="8" fillId="0" borderId="8" xfId="0" applyFont="1" applyBorder="1"/>
    <xf numFmtId="0" fontId="8" fillId="0" borderId="3" xfId="0" applyFont="1" applyBorder="1"/>
    <xf numFmtId="0" fontId="8" fillId="0" borderId="4" xfId="0" applyFont="1" applyBorder="1"/>
    <xf numFmtId="165" fontId="8" fillId="0" borderId="0" xfId="1" applyNumberFormat="1" applyFont="1" applyBorder="1"/>
    <xf numFmtId="0" fontId="9" fillId="0" borderId="0" xfId="0" applyFont="1" applyBorder="1" applyAlignment="1">
      <alignment vertical="center"/>
    </xf>
    <xf numFmtId="165" fontId="9" fillId="0" borderId="0" xfId="1" applyNumberFormat="1" applyFont="1" applyFill="1" applyBorder="1"/>
    <xf numFmtId="165" fontId="0" fillId="0" borderId="0" xfId="1" applyNumberFormat="1" applyFont="1" applyFill="1" applyBorder="1"/>
    <xf numFmtId="165" fontId="10" fillId="0" borderId="0" xfId="1" applyNumberFormat="1" applyFont="1" applyFill="1" applyBorder="1"/>
    <xf numFmtId="0" fontId="8" fillId="0" borderId="1" xfId="0" applyFont="1" applyBorder="1"/>
    <xf numFmtId="0" fontId="9" fillId="2" borderId="3" xfId="0" applyFont="1" applyFill="1" applyBorder="1"/>
    <xf numFmtId="0" fontId="9" fillId="2" borderId="4" xfId="0" applyFont="1" applyFill="1" applyBorder="1"/>
    <xf numFmtId="0" fontId="8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3" xfId="0" applyFont="1" applyBorder="1" applyAlignment="1">
      <alignment horizontal="right" vertical="center"/>
    </xf>
    <xf numFmtId="165" fontId="10" fillId="0" borderId="0" xfId="1" applyNumberFormat="1" applyFont="1" applyFill="1"/>
    <xf numFmtId="165" fontId="15" fillId="0" borderId="0" xfId="1" applyNumberFormat="1" applyFont="1" applyFill="1"/>
    <xf numFmtId="165" fontId="8" fillId="0" borderId="3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left"/>
    </xf>
    <xf numFmtId="165" fontId="16" fillId="0" borderId="3" xfId="1" applyNumberFormat="1" applyFont="1" applyFill="1" applyBorder="1"/>
    <xf numFmtId="165" fontId="0" fillId="0" borderId="0" xfId="1" applyNumberFormat="1" applyFont="1" applyFill="1"/>
    <xf numFmtId="0" fontId="17" fillId="0" borderId="0" xfId="0" applyFont="1" applyBorder="1"/>
    <xf numFmtId="0" fontId="5" fillId="0" borderId="0" xfId="0" applyFont="1" applyBorder="1"/>
    <xf numFmtId="0" fontId="10" fillId="0" borderId="0" xfId="0" applyFont="1"/>
    <xf numFmtId="0" fontId="9" fillId="0" borderId="0" xfId="0" applyFont="1" applyBorder="1" applyAlignment="1">
      <alignment horizontal="right" vertical="center"/>
    </xf>
    <xf numFmtId="0" fontId="9" fillId="0" borderId="0" xfId="0" applyFont="1" applyBorder="1"/>
    <xf numFmtId="166" fontId="0" fillId="0" borderId="0" xfId="1" applyNumberFormat="1" applyFont="1" applyBorder="1"/>
    <xf numFmtId="0" fontId="8" fillId="0" borderId="0" xfId="0" applyFont="1" applyBorder="1" applyAlignment="1">
      <alignment horizontal="right" vertical="center"/>
    </xf>
    <xf numFmtId="166" fontId="3" fillId="0" borderId="0" xfId="1" applyNumberFormat="1" applyFont="1" applyBorder="1"/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10" fillId="0" borderId="0" xfId="0" applyNumberFormat="1" applyFont="1"/>
    <xf numFmtId="166" fontId="0" fillId="0" borderId="1" xfId="1" applyNumberFormat="1" applyFont="1" applyBorder="1"/>
    <xf numFmtId="165" fontId="10" fillId="0" borderId="1" xfId="0" applyNumberFormat="1" applyFont="1" applyBorder="1"/>
    <xf numFmtId="166" fontId="3" fillId="0" borderId="0" xfId="1" applyNumberFormat="1" applyFont="1"/>
    <xf numFmtId="165" fontId="16" fillId="0" borderId="0" xfId="0" applyNumberFormat="1" applyFont="1"/>
    <xf numFmtId="0" fontId="16" fillId="0" borderId="0" xfId="0" applyFont="1"/>
    <xf numFmtId="166" fontId="10" fillId="0" borderId="0" xfId="1" applyNumberFormat="1" applyFont="1"/>
    <xf numFmtId="166" fontId="10" fillId="0" borderId="1" xfId="1" applyNumberFormat="1" applyFont="1" applyBorder="1"/>
    <xf numFmtId="166" fontId="16" fillId="0" borderId="0" xfId="1" applyNumberFormat="1" applyFont="1"/>
    <xf numFmtId="165" fontId="3" fillId="0" borderId="9" xfId="0" applyNumberFormat="1" applyFont="1" applyBorder="1"/>
    <xf numFmtId="166" fontId="3" fillId="0" borderId="9" xfId="1" applyNumberFormat="1" applyFont="1" applyBorder="1"/>
    <xf numFmtId="165" fontId="16" fillId="0" borderId="9" xfId="0" applyNumberFormat="1" applyFont="1" applyBorder="1"/>
    <xf numFmtId="166" fontId="0" fillId="0" borderId="0" xfId="0" applyNumberFormat="1" applyBorder="1"/>
    <xf numFmtId="165" fontId="8" fillId="0" borderId="1" xfId="1" applyNumberFormat="1" applyFont="1" applyBorder="1"/>
    <xf numFmtId="165" fontId="8" fillId="0" borderId="9" xfId="1" applyNumberFormat="1" applyFont="1" applyFill="1" applyBorder="1"/>
    <xf numFmtId="0" fontId="3" fillId="0" borderId="0" xfId="0" applyFont="1" applyBorder="1"/>
    <xf numFmtId="166" fontId="0" fillId="0" borderId="0" xfId="1" applyNumberFormat="1" applyFont="1" applyFill="1" applyBorder="1"/>
    <xf numFmtId="166" fontId="0" fillId="0" borderId="1" xfId="1" applyNumberFormat="1" applyFont="1" applyFill="1" applyBorder="1"/>
    <xf numFmtId="166" fontId="8" fillId="0" borderId="9" xfId="0" applyNumberFormat="1" applyFont="1" applyBorder="1" applyAlignment="1">
      <alignment vertical="center"/>
    </xf>
    <xf numFmtId="166" fontId="3" fillId="0" borderId="0" xfId="0" applyNumberFormat="1" applyFont="1"/>
    <xf numFmtId="167" fontId="3" fillId="0" borderId="9" xfId="0" applyNumberFormat="1" applyFont="1" applyBorder="1"/>
    <xf numFmtId="166" fontId="3" fillId="0" borderId="9" xfId="0" applyNumberFormat="1" applyFont="1" applyBorder="1"/>
    <xf numFmtId="167" fontId="3" fillId="0" borderId="0" xfId="0" applyNumberFormat="1" applyFont="1"/>
    <xf numFmtId="0" fontId="18" fillId="0" borderId="1" xfId="0" applyFont="1" applyBorder="1"/>
  </cellXfs>
  <cellStyles count="3">
    <cellStyle name="K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\Documents\RIL%20FERDIG%20REVIDERING%20REGNSKAP\Revisjon%20regnskaps&#229;ret%202015\Resultatregnskap%20med%20el.%20og%20til%20insendelse_nr3_21.02.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regnskap før el 2015"/>
      <sheetName val="Totalregnskap etter el 2015"/>
      <sheetName val=" BUDSJETTREGNSKAP FØR EL 2015"/>
      <sheetName val=" BUDSJETTREGNSKAP ETTER EL 2015"/>
      <sheetName val="Total regnskap ferdig 2015"/>
    </sheetNames>
    <sheetDataSet>
      <sheetData sheetId="0" refreshError="1"/>
      <sheetData sheetId="1">
        <row r="6">
          <cell r="O6">
            <v>562025</v>
          </cell>
        </row>
        <row r="7">
          <cell r="O7">
            <v>663653</v>
          </cell>
        </row>
        <row r="8">
          <cell r="O8">
            <v>76850</v>
          </cell>
        </row>
        <row r="9">
          <cell r="O9">
            <v>70735</v>
          </cell>
        </row>
        <row r="10">
          <cell r="O10">
            <v>869118</v>
          </cell>
        </row>
        <row r="15">
          <cell r="P15">
            <v>1406013</v>
          </cell>
        </row>
        <row r="16">
          <cell r="P16">
            <v>640525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91"/>
  <sheetViews>
    <sheetView tabSelected="1" topLeftCell="A69" workbookViewId="0">
      <selection activeCell="A79" sqref="A79"/>
    </sheetView>
  </sheetViews>
  <sheetFormatPr baseColWidth="10" defaultColWidth="9.140625" defaultRowHeight="15" x14ac:dyDescent="0.25"/>
  <cols>
    <col min="1" max="1" width="22" customWidth="1"/>
    <col min="2" max="2" width="10" customWidth="1"/>
    <col min="3" max="3" width="7.85546875" customWidth="1"/>
    <col min="4" max="4" width="10.42578125" customWidth="1"/>
    <col min="5" max="5" width="7.85546875" customWidth="1"/>
    <col min="6" max="6" width="10.42578125" style="85" customWidth="1"/>
    <col min="7" max="7" width="7.85546875" customWidth="1"/>
    <col min="8" max="8" width="9.7109375" bestFit="1" customWidth="1"/>
    <col min="9" max="9" width="10.42578125" style="62" customWidth="1"/>
    <col min="10" max="10" width="20.85546875" customWidth="1"/>
    <col min="11" max="11" width="13" customWidth="1"/>
    <col min="12" max="12" width="13.140625" bestFit="1" customWidth="1"/>
    <col min="13" max="13" width="12.28515625" bestFit="1" customWidth="1"/>
  </cols>
  <sheetData>
    <row r="3" spans="1:13" ht="33" customHeight="1" x14ac:dyDescent="0.35">
      <c r="A3" s="83" t="s">
        <v>135</v>
      </c>
      <c r="B3" s="84"/>
      <c r="C3" s="84"/>
      <c r="E3" s="84"/>
      <c r="J3" s="86"/>
      <c r="K3" s="87"/>
      <c r="L3" s="88"/>
    </row>
    <row r="4" spans="1:13" ht="13.5" customHeight="1" x14ac:dyDescent="0.25">
      <c r="A4" s="84"/>
      <c r="B4" s="84"/>
      <c r="C4" s="84"/>
      <c r="E4" s="84"/>
      <c r="J4" s="86"/>
      <c r="K4" s="87"/>
      <c r="L4" s="88"/>
    </row>
    <row r="5" spans="1:13" ht="13.5" customHeight="1" x14ac:dyDescent="0.25">
      <c r="A5" s="84"/>
      <c r="B5" s="84"/>
      <c r="C5" s="84"/>
      <c r="E5" s="84"/>
      <c r="J5" s="86"/>
      <c r="K5" s="87"/>
      <c r="L5" s="88"/>
    </row>
    <row r="6" spans="1:13" ht="13.5" customHeight="1" x14ac:dyDescent="0.25">
      <c r="A6" s="84"/>
      <c r="B6" s="84"/>
      <c r="C6" s="84"/>
      <c r="E6" s="84"/>
      <c r="J6" s="86"/>
      <c r="K6" s="87"/>
      <c r="L6" s="88"/>
    </row>
    <row r="7" spans="1:13" ht="12" customHeight="1" x14ac:dyDescent="0.25">
      <c r="J7" s="89"/>
      <c r="K7" s="38"/>
      <c r="L7" s="90"/>
      <c r="M7" s="54"/>
    </row>
    <row r="8" spans="1:13" x14ac:dyDescent="0.25">
      <c r="A8" s="54" t="s">
        <v>136</v>
      </c>
      <c r="B8" s="54" t="s">
        <v>137</v>
      </c>
      <c r="C8" s="13"/>
      <c r="D8" s="91" t="s">
        <v>138</v>
      </c>
      <c r="E8" s="13"/>
      <c r="F8" s="92" t="s">
        <v>137</v>
      </c>
      <c r="G8" s="93"/>
      <c r="H8" s="91" t="s">
        <v>138</v>
      </c>
      <c r="I8" s="94"/>
      <c r="J8" s="86"/>
      <c r="K8" s="87"/>
      <c r="L8" s="88"/>
    </row>
    <row r="9" spans="1:13" x14ac:dyDescent="0.25">
      <c r="A9" s="27" t="s">
        <v>0</v>
      </c>
      <c r="B9" s="91">
        <v>2015</v>
      </c>
      <c r="C9" s="95"/>
      <c r="D9" s="91">
        <v>2015</v>
      </c>
      <c r="E9" s="95"/>
      <c r="F9" s="92">
        <v>2014</v>
      </c>
      <c r="G9" s="93"/>
      <c r="H9" s="91">
        <v>2016</v>
      </c>
      <c r="I9" s="94"/>
      <c r="L9" s="29"/>
    </row>
    <row r="10" spans="1:13" x14ac:dyDescent="0.25">
      <c r="A10" s="24" t="s">
        <v>14</v>
      </c>
      <c r="B10" s="19">
        <f>'[1]Totalregnskap etter el 2015'!O6</f>
        <v>562025</v>
      </c>
      <c r="C10" s="24"/>
      <c r="D10" s="29">
        <v>608000</v>
      </c>
      <c r="E10" s="24"/>
      <c r="F10" s="96">
        <v>529577</v>
      </c>
      <c r="H10" s="29">
        <v>551000</v>
      </c>
      <c r="I10" s="88"/>
      <c r="L10" s="29"/>
    </row>
    <row r="11" spans="1:13" x14ac:dyDescent="0.25">
      <c r="A11" s="24" t="s">
        <v>16</v>
      </c>
      <c r="B11" s="19">
        <f>'[1]Totalregnskap etter el 2015'!O7</f>
        <v>663653</v>
      </c>
      <c r="C11" s="24"/>
      <c r="D11" s="29">
        <v>633300</v>
      </c>
      <c r="E11" s="24"/>
      <c r="F11" s="96">
        <v>415968</v>
      </c>
      <c r="H11" s="29">
        <v>642700</v>
      </c>
      <c r="I11" s="88"/>
    </row>
    <row r="12" spans="1:13" x14ac:dyDescent="0.25">
      <c r="A12" s="24" t="s">
        <v>18</v>
      </c>
      <c r="B12" s="19">
        <f>'[1]Totalregnskap etter el 2015'!O8</f>
        <v>76850</v>
      </c>
      <c r="C12" s="24"/>
      <c r="D12" s="29">
        <v>79000</v>
      </c>
      <c r="E12" s="24"/>
      <c r="F12" s="96">
        <v>78900</v>
      </c>
      <c r="H12" s="29">
        <v>81000</v>
      </c>
      <c r="I12" s="88"/>
    </row>
    <row r="13" spans="1:13" x14ac:dyDescent="0.25">
      <c r="A13" s="24" t="s">
        <v>139</v>
      </c>
      <c r="B13" s="19">
        <f>'[1]Totalregnskap etter el 2015'!O9</f>
        <v>70735</v>
      </c>
      <c r="C13" s="24"/>
      <c r="D13" s="29">
        <v>67000</v>
      </c>
      <c r="E13" s="24"/>
      <c r="F13" s="96">
        <v>75471</v>
      </c>
      <c r="H13" s="29">
        <v>68500</v>
      </c>
      <c r="I13" s="88"/>
    </row>
    <row r="14" spans="1:13" x14ac:dyDescent="0.25">
      <c r="A14" s="24" t="s">
        <v>22</v>
      </c>
      <c r="B14" s="25">
        <f>'[1]Totalregnskap etter el 2015'!O10</f>
        <v>869118</v>
      </c>
      <c r="C14" s="24"/>
      <c r="D14" s="97">
        <v>609300</v>
      </c>
      <c r="E14" s="24"/>
      <c r="F14" s="98">
        <v>1174504</v>
      </c>
      <c r="H14" s="97">
        <v>844600</v>
      </c>
      <c r="I14" s="88"/>
    </row>
    <row r="15" spans="1:13" x14ac:dyDescent="0.25">
      <c r="A15" s="27" t="s">
        <v>24</v>
      </c>
      <c r="B15" s="28">
        <f>SUM(B10:B14)</f>
        <v>2242381</v>
      </c>
      <c r="C15" s="27"/>
      <c r="D15" s="99">
        <f>SUM(D10:D14)</f>
        <v>1996600</v>
      </c>
      <c r="E15" s="27"/>
      <c r="F15" s="100">
        <f>SUM(F10:F14)</f>
        <v>2274420</v>
      </c>
      <c r="H15" s="99">
        <f>SUM(H10:H14)</f>
        <v>2187800</v>
      </c>
      <c r="I15" s="88"/>
    </row>
    <row r="16" spans="1:13" x14ac:dyDescent="0.25">
      <c r="A16" s="27"/>
      <c r="B16" s="28"/>
      <c r="C16" s="27"/>
      <c r="D16" s="99"/>
      <c r="E16" s="27"/>
      <c r="F16" s="100"/>
      <c r="H16" s="99"/>
      <c r="I16" s="88"/>
    </row>
    <row r="17" spans="1:13" x14ac:dyDescent="0.25">
      <c r="A17" s="27"/>
      <c r="B17" s="28"/>
      <c r="C17" s="27"/>
      <c r="D17" s="99"/>
      <c r="E17" s="27"/>
      <c r="F17" s="100"/>
      <c r="H17" s="99"/>
      <c r="I17" s="88"/>
    </row>
    <row r="18" spans="1:13" ht="12" customHeight="1" x14ac:dyDescent="0.25">
      <c r="A18" s="24"/>
      <c r="C18" s="24"/>
      <c r="D18" s="29"/>
      <c r="E18" s="24"/>
      <c r="H18" s="29"/>
      <c r="I18" s="88"/>
    </row>
    <row r="19" spans="1:13" s="54" customFormat="1" x14ac:dyDescent="0.25">
      <c r="A19" s="27" t="s">
        <v>28</v>
      </c>
      <c r="C19" s="27"/>
      <c r="D19" s="99"/>
      <c r="E19" s="27"/>
      <c r="F19" s="101"/>
      <c r="H19" s="99"/>
      <c r="I19" s="90"/>
      <c r="J19"/>
      <c r="K19"/>
      <c r="L19"/>
      <c r="M19"/>
    </row>
    <row r="20" spans="1:13" x14ac:dyDescent="0.25">
      <c r="A20" s="24" t="s">
        <v>30</v>
      </c>
      <c r="B20" s="29">
        <f>'[1]Totalregnskap etter el 2015'!P15</f>
        <v>1406013</v>
      </c>
      <c r="C20" s="24"/>
      <c r="D20" s="29">
        <v>1292400</v>
      </c>
      <c r="E20" s="24"/>
      <c r="F20" s="102">
        <v>1092800</v>
      </c>
      <c r="H20" s="29">
        <v>1515350</v>
      </c>
      <c r="I20" s="88"/>
    </row>
    <row r="21" spans="1:13" x14ac:dyDescent="0.25">
      <c r="A21" s="24" t="s">
        <v>32</v>
      </c>
      <c r="B21" s="97">
        <f>'[1]Totalregnskap etter el 2015'!P16</f>
        <v>640525</v>
      </c>
      <c r="C21" s="24"/>
      <c r="D21" s="97">
        <v>847900</v>
      </c>
      <c r="E21" s="24"/>
      <c r="F21" s="103">
        <f>754386+1</f>
        <v>754387</v>
      </c>
      <c r="H21" s="97">
        <v>771700</v>
      </c>
      <c r="I21" s="88"/>
    </row>
    <row r="22" spans="1:13" x14ac:dyDescent="0.25">
      <c r="A22" s="27" t="s">
        <v>140</v>
      </c>
      <c r="B22" s="99">
        <f>B20+B21</f>
        <v>2046538</v>
      </c>
      <c r="C22" s="27"/>
      <c r="D22" s="99">
        <f>SUM(D20:D21)</f>
        <v>2140300</v>
      </c>
      <c r="E22" s="27"/>
      <c r="F22" s="104">
        <f>F20+F21</f>
        <v>1847187</v>
      </c>
      <c r="H22" s="99">
        <f>SUM(H20:H21)</f>
        <v>2287050</v>
      </c>
      <c r="I22" s="88"/>
    </row>
    <row r="23" spans="1:13" x14ac:dyDescent="0.25">
      <c r="A23" s="27"/>
      <c r="B23" s="99"/>
      <c r="C23" s="27"/>
      <c r="D23" s="99"/>
      <c r="E23" s="27"/>
      <c r="F23" s="104"/>
      <c r="H23" s="99"/>
      <c r="I23" s="88"/>
    </row>
    <row r="24" spans="1:13" ht="12" customHeight="1" x14ac:dyDescent="0.25">
      <c r="A24" s="24"/>
      <c r="C24" s="24"/>
      <c r="D24" s="29"/>
      <c r="E24" s="24"/>
      <c r="H24" s="29"/>
    </row>
    <row r="25" spans="1:13" ht="15.75" thickBot="1" x14ac:dyDescent="0.3">
      <c r="A25" s="27" t="s">
        <v>141</v>
      </c>
      <c r="B25" s="105">
        <f>B15-B22</f>
        <v>195843</v>
      </c>
      <c r="C25" s="27"/>
      <c r="D25" s="106">
        <f>D15-D22</f>
        <v>-143700</v>
      </c>
      <c r="E25" s="27"/>
      <c r="F25" s="107">
        <f>F15-F22</f>
        <v>427233</v>
      </c>
      <c r="H25" s="106">
        <f>H15-H22</f>
        <v>-99250</v>
      </c>
      <c r="I25" s="108"/>
      <c r="K25" s="19"/>
    </row>
    <row r="26" spans="1:13" x14ac:dyDescent="0.25">
      <c r="A26" s="27"/>
      <c r="B26" s="28"/>
      <c r="C26" s="27"/>
      <c r="D26" s="99"/>
      <c r="E26" s="27"/>
      <c r="F26" s="100"/>
      <c r="H26" s="99"/>
      <c r="I26" s="108"/>
      <c r="K26" s="19"/>
    </row>
    <row r="27" spans="1:13" ht="12" customHeight="1" x14ac:dyDescent="0.25">
      <c r="A27" s="24"/>
      <c r="B27" s="24"/>
      <c r="C27" s="24"/>
      <c r="D27" s="29"/>
      <c r="E27" s="24"/>
      <c r="H27" s="29"/>
    </row>
    <row r="28" spans="1:13" x14ac:dyDescent="0.25">
      <c r="A28" s="27" t="s">
        <v>142</v>
      </c>
      <c r="B28" s="29"/>
      <c r="D28" s="29" t="s">
        <v>84</v>
      </c>
    </row>
    <row r="29" spans="1:13" x14ac:dyDescent="0.25">
      <c r="A29" s="24" t="s">
        <v>143</v>
      </c>
      <c r="B29" s="66">
        <v>3659</v>
      </c>
      <c r="F29" s="29">
        <f>2175+1600</f>
        <v>3775</v>
      </c>
    </row>
    <row r="30" spans="1:13" x14ac:dyDescent="0.25">
      <c r="A30" s="23" t="s">
        <v>144</v>
      </c>
      <c r="B30" s="109">
        <v>-7161</v>
      </c>
      <c r="F30" s="97">
        <f>-3498-9375</f>
        <v>-12873</v>
      </c>
    </row>
    <row r="31" spans="1:13" x14ac:dyDescent="0.25">
      <c r="A31" t="s">
        <v>145</v>
      </c>
      <c r="B31" s="66">
        <f>B29+B30</f>
        <v>-3502</v>
      </c>
      <c r="F31" s="99">
        <f>F29+F30</f>
        <v>-9098</v>
      </c>
    </row>
    <row r="32" spans="1:13" x14ac:dyDescent="0.25">
      <c r="B32" s="66"/>
      <c r="F32" s="99"/>
    </row>
    <row r="33" spans="1:13" ht="12" customHeight="1" x14ac:dyDescent="0.25">
      <c r="B33" s="66"/>
    </row>
    <row r="34" spans="1:13" s="54" customFormat="1" ht="15.75" thickBot="1" x14ac:dyDescent="0.3">
      <c r="A34" s="54" t="s">
        <v>111</v>
      </c>
      <c r="B34" s="110">
        <f>B25+B31</f>
        <v>192341</v>
      </c>
      <c r="D34" s="28"/>
      <c r="F34" s="107">
        <f>F25+F31</f>
        <v>418135</v>
      </c>
      <c r="I34" s="111"/>
      <c r="J34"/>
      <c r="K34"/>
      <c r="L34"/>
      <c r="M34"/>
    </row>
    <row r="35" spans="1:13" ht="16.5" customHeight="1" x14ac:dyDescent="0.25">
      <c r="B35" s="66"/>
    </row>
    <row r="44" spans="1:13" ht="9.75" customHeight="1" x14ac:dyDescent="0.25"/>
    <row r="46" spans="1:13" ht="10.5" customHeight="1" x14ac:dyDescent="0.25"/>
    <row r="49" spans="1:4" ht="9" customHeight="1" x14ac:dyDescent="0.25"/>
    <row r="53" spans="1:4" ht="23.25" x14ac:dyDescent="0.35">
      <c r="A53" s="83" t="s">
        <v>146</v>
      </c>
    </row>
    <row r="54" spans="1:4" ht="40.5" customHeight="1" x14ac:dyDescent="0.25"/>
    <row r="56" spans="1:4" x14ac:dyDescent="0.25">
      <c r="A56" s="38" t="s">
        <v>100</v>
      </c>
      <c r="B56" s="94">
        <v>2015</v>
      </c>
      <c r="C56" s="91"/>
      <c r="D56" s="91">
        <v>2014</v>
      </c>
    </row>
    <row r="57" spans="1:4" x14ac:dyDescent="0.25">
      <c r="A57" s="38" t="s">
        <v>101</v>
      </c>
      <c r="B57" s="38"/>
      <c r="C57" s="62"/>
    </row>
    <row r="58" spans="1:4" x14ac:dyDescent="0.25">
      <c r="A58" s="87" t="s">
        <v>147</v>
      </c>
      <c r="B58" s="88">
        <f>6814+10937</f>
        <v>17751</v>
      </c>
      <c r="D58" s="29">
        <v>11216</v>
      </c>
    </row>
    <row r="59" spans="1:4" x14ac:dyDescent="0.25">
      <c r="A59" s="87" t="s">
        <v>104</v>
      </c>
      <c r="B59" s="112">
        <v>230205</v>
      </c>
      <c r="D59" s="29">
        <v>244588</v>
      </c>
    </row>
    <row r="60" spans="1:4" x14ac:dyDescent="0.25">
      <c r="A60" s="67" t="s">
        <v>108</v>
      </c>
      <c r="B60" s="113">
        <f>2067770+36481</f>
        <v>2104251</v>
      </c>
      <c r="D60" s="97">
        <f>1928174</f>
        <v>1928174</v>
      </c>
    </row>
    <row r="61" spans="1:4" x14ac:dyDescent="0.25">
      <c r="A61" s="39" t="s">
        <v>148</v>
      </c>
      <c r="B61" s="90">
        <f>SUM(B58:B60)</f>
        <v>2352207</v>
      </c>
      <c r="D61" s="99">
        <f>SUM(D58:D60)</f>
        <v>2183978</v>
      </c>
    </row>
    <row r="62" spans="1:4" x14ac:dyDescent="0.25">
      <c r="D62" s="29"/>
    </row>
    <row r="63" spans="1:4" ht="15.75" thickBot="1" x14ac:dyDescent="0.3">
      <c r="A63" s="54" t="s">
        <v>149</v>
      </c>
      <c r="B63" s="114">
        <f>B61</f>
        <v>2352207</v>
      </c>
      <c r="C63" s="90"/>
      <c r="D63" s="106">
        <f>D61</f>
        <v>2183978</v>
      </c>
    </row>
    <row r="65" spans="1:4" x14ac:dyDescent="0.25">
      <c r="A65" s="39" t="s">
        <v>110</v>
      </c>
      <c r="D65" s="29"/>
    </row>
    <row r="66" spans="1:4" x14ac:dyDescent="0.25">
      <c r="A66" s="54" t="s">
        <v>150</v>
      </c>
      <c r="B66" s="99">
        <f>2326434-1</f>
        <v>2326433</v>
      </c>
      <c r="C66" s="54"/>
      <c r="D66" s="99">
        <v>2134093</v>
      </c>
    </row>
    <row r="67" spans="1:4" x14ac:dyDescent="0.25">
      <c r="D67" s="29"/>
    </row>
    <row r="68" spans="1:4" x14ac:dyDescent="0.25">
      <c r="A68" s="39" t="s">
        <v>151</v>
      </c>
      <c r="B68" s="38"/>
      <c r="C68" s="88"/>
      <c r="D68" s="29"/>
    </row>
    <row r="69" spans="1:4" x14ac:dyDescent="0.25">
      <c r="A69" s="87" t="s">
        <v>114</v>
      </c>
      <c r="B69" s="88">
        <f>14850-1</f>
        <v>14849</v>
      </c>
      <c r="D69" s="29">
        <v>8592</v>
      </c>
    </row>
    <row r="70" spans="1:4" x14ac:dyDescent="0.25">
      <c r="A70" s="87" t="s">
        <v>115</v>
      </c>
      <c r="B70" s="97">
        <v>10925</v>
      </c>
      <c r="D70" s="97">
        <v>41293</v>
      </c>
    </row>
    <row r="71" spans="1:4" x14ac:dyDescent="0.25">
      <c r="A71" s="111" t="s">
        <v>152</v>
      </c>
      <c r="B71" s="115">
        <f>B69+B70</f>
        <v>25774</v>
      </c>
      <c r="C71" s="54"/>
      <c r="D71" s="99">
        <f>D70+D69</f>
        <v>49885</v>
      </c>
    </row>
    <row r="73" spans="1:4" ht="15.75" thickBot="1" x14ac:dyDescent="0.3">
      <c r="A73" s="38" t="s">
        <v>123</v>
      </c>
      <c r="B73" s="116">
        <f>B66+B71</f>
        <v>2352207</v>
      </c>
      <c r="D73" s="117">
        <f>D66+D71</f>
        <v>2183978</v>
      </c>
    </row>
    <row r="74" spans="1:4" x14ac:dyDescent="0.25">
      <c r="A74" s="38"/>
      <c r="B74" s="118"/>
      <c r="D74" s="115"/>
    </row>
    <row r="75" spans="1:4" x14ac:dyDescent="0.25">
      <c r="A75" s="38"/>
      <c r="B75" s="118"/>
      <c r="D75" s="115"/>
    </row>
    <row r="77" spans="1:4" x14ac:dyDescent="0.25">
      <c r="A77" t="s">
        <v>168</v>
      </c>
    </row>
    <row r="82" spans="1:9" x14ac:dyDescent="0.25">
      <c r="A82" t="s">
        <v>153</v>
      </c>
      <c r="C82" t="s">
        <v>153</v>
      </c>
      <c r="F82" t="s">
        <v>158</v>
      </c>
    </row>
    <row r="83" spans="1:9" x14ac:dyDescent="0.25">
      <c r="A83" t="s">
        <v>167</v>
      </c>
      <c r="C83" t="s">
        <v>155</v>
      </c>
      <c r="F83" t="s">
        <v>154</v>
      </c>
    </row>
    <row r="84" spans="1:9" x14ac:dyDescent="0.25">
      <c r="A84" t="s">
        <v>156</v>
      </c>
      <c r="C84" t="s">
        <v>157</v>
      </c>
      <c r="F84" t="s">
        <v>163</v>
      </c>
    </row>
    <row r="85" spans="1:9" x14ac:dyDescent="0.25">
      <c r="F85"/>
    </row>
    <row r="86" spans="1:9" x14ac:dyDescent="0.25">
      <c r="F86"/>
    </row>
    <row r="87" spans="1:9" x14ac:dyDescent="0.25">
      <c r="F87"/>
      <c r="H87" s="62"/>
      <c r="I87"/>
    </row>
    <row r="88" spans="1:9" x14ac:dyDescent="0.25">
      <c r="F88"/>
      <c r="H88" s="62"/>
      <c r="I88"/>
    </row>
    <row r="89" spans="1:9" x14ac:dyDescent="0.25">
      <c r="A89" t="s">
        <v>158</v>
      </c>
      <c r="C89" t="s">
        <v>158</v>
      </c>
      <c r="F89" t="s">
        <v>158</v>
      </c>
    </row>
    <row r="90" spans="1:9" x14ac:dyDescent="0.25">
      <c r="A90" t="s">
        <v>159</v>
      </c>
      <c r="C90" t="s">
        <v>165</v>
      </c>
      <c r="F90" t="s">
        <v>160</v>
      </c>
    </row>
    <row r="91" spans="1:9" x14ac:dyDescent="0.25">
      <c r="A91" t="s">
        <v>161</v>
      </c>
      <c r="C91" t="s">
        <v>166</v>
      </c>
      <c r="F91" t="s">
        <v>162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selection activeCell="B31" sqref="B31"/>
    </sheetView>
  </sheetViews>
  <sheetFormatPr baseColWidth="10" defaultRowHeight="15" x14ac:dyDescent="0.25"/>
  <cols>
    <col min="1" max="1" width="6.7109375" style="38" customWidth="1"/>
    <col min="2" max="2" width="33.140625" style="38" customWidth="1"/>
    <col min="3" max="4" width="9.42578125" style="69" customWidth="1"/>
    <col min="5" max="5" width="10.85546875" style="70" customWidth="1"/>
    <col min="6" max="6" width="9.42578125" style="69" customWidth="1"/>
    <col min="7" max="10" width="9.42578125" style="82" customWidth="1"/>
    <col min="11" max="11" width="10.85546875" style="14" customWidth="1"/>
    <col min="12" max="12" width="3.42578125" customWidth="1"/>
  </cols>
  <sheetData>
    <row r="1" spans="1:12" s="4" customFormat="1" ht="18" x14ac:dyDescent="0.25">
      <c r="A1" s="1"/>
      <c r="B1" s="2"/>
      <c r="C1" s="3"/>
      <c r="D1" s="3"/>
      <c r="E1" s="3"/>
      <c r="F1" s="3"/>
      <c r="G1" s="6"/>
      <c r="H1" s="78"/>
      <c r="I1" s="6"/>
      <c r="J1" s="6"/>
      <c r="K1" s="8"/>
    </row>
    <row r="2" spans="1:12" s="13" customFormat="1" ht="12.75" x14ac:dyDescent="0.2">
      <c r="A2" s="9" t="s">
        <v>0</v>
      </c>
      <c r="B2" s="10"/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2" t="s">
        <v>9</v>
      </c>
    </row>
    <row r="3" spans="1:12" x14ac:dyDescent="0.25">
      <c r="A3" s="15">
        <v>3110</v>
      </c>
      <c r="B3" s="15" t="s">
        <v>10</v>
      </c>
      <c r="C3" s="16"/>
      <c r="D3" s="17"/>
      <c r="E3" s="16"/>
      <c r="F3" s="17">
        <v>15000</v>
      </c>
      <c r="G3" s="17"/>
      <c r="H3" s="17"/>
      <c r="I3" s="17"/>
      <c r="J3" s="17"/>
      <c r="K3" s="12">
        <f>SUM(C3:J3)</f>
        <v>15000</v>
      </c>
    </row>
    <row r="4" spans="1:12" x14ac:dyDescent="0.25">
      <c r="A4" s="15">
        <v>3120</v>
      </c>
      <c r="B4" s="15" t="s">
        <v>11</v>
      </c>
      <c r="C4" s="16"/>
      <c r="D4" s="17"/>
      <c r="E4" s="16">
        <v>15000</v>
      </c>
      <c r="F4" s="17">
        <v>25000</v>
      </c>
      <c r="G4" s="17"/>
      <c r="H4" s="17"/>
      <c r="I4" s="17">
        <v>10000</v>
      </c>
      <c r="J4" s="17"/>
      <c r="K4" s="12">
        <f t="shared" ref="K4:K27" si="0">SUM(C4:J4)</f>
        <v>50000</v>
      </c>
    </row>
    <row r="5" spans="1:12" x14ac:dyDescent="0.25">
      <c r="A5" s="15">
        <v>3121</v>
      </c>
      <c r="B5" s="15" t="s">
        <v>12</v>
      </c>
      <c r="C5" s="16"/>
      <c r="D5" s="17"/>
      <c r="E5" s="16"/>
      <c r="F5" s="17">
        <v>5000</v>
      </c>
      <c r="G5" s="17"/>
      <c r="H5" s="17"/>
      <c r="I5" s="17"/>
      <c r="J5" s="17"/>
      <c r="K5" s="12">
        <f t="shared" si="0"/>
        <v>5000</v>
      </c>
    </row>
    <row r="6" spans="1:12" x14ac:dyDescent="0.25">
      <c r="A6" s="15">
        <v>3200</v>
      </c>
      <c r="B6" s="15" t="s">
        <v>13</v>
      </c>
      <c r="C6" s="16"/>
      <c r="D6" s="17"/>
      <c r="E6" s="16"/>
      <c r="F6" s="17">
        <f>70000+45000</f>
        <v>115000</v>
      </c>
      <c r="G6" s="17">
        <v>30000</v>
      </c>
      <c r="H6" s="17"/>
      <c r="I6" s="17">
        <v>6000</v>
      </c>
      <c r="J6" s="17"/>
      <c r="K6" s="12">
        <f t="shared" si="0"/>
        <v>151000</v>
      </c>
    </row>
    <row r="7" spans="1:12" x14ac:dyDescent="0.25">
      <c r="A7" s="15">
        <v>3215</v>
      </c>
      <c r="B7" s="15" t="s">
        <v>15</v>
      </c>
      <c r="C7" s="16"/>
      <c r="D7" s="17"/>
      <c r="E7" s="16"/>
      <c r="F7" s="20"/>
      <c r="G7" s="17">
        <v>5000</v>
      </c>
      <c r="H7" s="17"/>
      <c r="I7" s="17"/>
      <c r="J7" s="17"/>
      <c r="K7" s="12">
        <f t="shared" si="0"/>
        <v>5000</v>
      </c>
    </row>
    <row r="8" spans="1:12" x14ac:dyDescent="0.25">
      <c r="A8" s="15">
        <v>3301</v>
      </c>
      <c r="B8" s="15" t="s">
        <v>17</v>
      </c>
      <c r="C8" s="16"/>
      <c r="D8" s="17"/>
      <c r="E8" s="16">
        <v>380000</v>
      </c>
      <c r="F8" s="17"/>
      <c r="G8" s="17"/>
      <c r="H8" s="17"/>
      <c r="I8" s="17"/>
      <c r="J8" s="17"/>
      <c r="K8" s="12">
        <f t="shared" si="0"/>
        <v>380000</v>
      </c>
    </row>
    <row r="9" spans="1:12" x14ac:dyDescent="0.25">
      <c r="A9" s="15">
        <v>3400</v>
      </c>
      <c r="B9" s="15" t="s">
        <v>19</v>
      </c>
      <c r="C9" s="21">
        <v>90000</v>
      </c>
      <c r="D9" s="22"/>
      <c r="E9" s="21"/>
      <c r="F9" s="22"/>
      <c r="G9" s="17"/>
      <c r="H9" s="17"/>
      <c r="I9" s="17"/>
      <c r="J9" s="17">
        <v>120000</v>
      </c>
      <c r="K9" s="12">
        <f>SUM(C9:J9)-90000</f>
        <v>120000</v>
      </c>
      <c r="L9" s="23" t="s">
        <v>21</v>
      </c>
    </row>
    <row r="10" spans="1:12" x14ac:dyDescent="0.25">
      <c r="A10" s="15">
        <v>3401</v>
      </c>
      <c r="B10" s="15" t="s">
        <v>20</v>
      </c>
      <c r="C10" s="16"/>
      <c r="D10" s="17"/>
      <c r="E10" s="16">
        <v>30000</v>
      </c>
      <c r="F10" s="16">
        <v>25000</v>
      </c>
      <c r="G10" s="17">
        <v>6500</v>
      </c>
      <c r="H10" s="17"/>
      <c r="I10" s="17">
        <v>18000</v>
      </c>
      <c r="J10" s="17"/>
      <c r="K10" s="12">
        <f t="shared" si="0"/>
        <v>79500</v>
      </c>
    </row>
    <row r="11" spans="1:12" x14ac:dyDescent="0.25">
      <c r="A11" s="15">
        <v>3440</v>
      </c>
      <c r="B11" s="15" t="s">
        <v>23</v>
      </c>
      <c r="C11" s="16">
        <v>90000</v>
      </c>
      <c r="D11" s="17"/>
      <c r="E11" s="26"/>
      <c r="F11" s="26"/>
      <c r="G11" s="17"/>
      <c r="H11" s="17"/>
      <c r="I11" s="17"/>
      <c r="J11" s="17"/>
      <c r="K11" s="12">
        <f>SUM(C11:J11)-52500</f>
        <v>37500</v>
      </c>
      <c r="L11" s="23" t="s">
        <v>21</v>
      </c>
    </row>
    <row r="12" spans="1:12" x14ac:dyDescent="0.25">
      <c r="A12" s="15">
        <v>3441</v>
      </c>
      <c r="B12" s="15" t="s">
        <v>25</v>
      </c>
      <c r="C12" s="16"/>
      <c r="D12" s="16">
        <v>2500</v>
      </c>
      <c r="E12" s="26">
        <v>20000</v>
      </c>
      <c r="F12" s="26">
        <v>15000</v>
      </c>
      <c r="G12" s="17">
        <v>6000</v>
      </c>
      <c r="H12" s="17"/>
      <c r="I12" s="17">
        <v>10000</v>
      </c>
      <c r="J12" s="17"/>
      <c r="K12" s="12">
        <f t="shared" si="0"/>
        <v>53500</v>
      </c>
    </row>
    <row r="13" spans="1:12" x14ac:dyDescent="0.25">
      <c r="A13" s="30">
        <v>3442</v>
      </c>
      <c r="B13" s="30" t="s">
        <v>26</v>
      </c>
      <c r="C13" s="16"/>
      <c r="D13" s="16"/>
      <c r="E13" s="26">
        <v>18000</v>
      </c>
      <c r="F13" s="26"/>
      <c r="G13" s="17"/>
      <c r="H13" s="17"/>
      <c r="I13" s="17"/>
      <c r="J13" s="17"/>
      <c r="K13" s="12">
        <f t="shared" si="0"/>
        <v>18000</v>
      </c>
    </row>
    <row r="14" spans="1:12" x14ac:dyDescent="0.25">
      <c r="A14" s="31">
        <v>3444</v>
      </c>
      <c r="B14" s="31" t="s">
        <v>124</v>
      </c>
      <c r="C14" s="16"/>
      <c r="D14" s="17"/>
      <c r="E14" s="26"/>
      <c r="F14" s="26"/>
      <c r="G14" s="17"/>
      <c r="H14" s="17"/>
      <c r="I14" s="17">
        <v>1000</v>
      </c>
      <c r="J14" s="17"/>
      <c r="K14" s="12">
        <f t="shared" si="0"/>
        <v>1000</v>
      </c>
    </row>
    <row r="15" spans="1:12" x14ac:dyDescent="0.25">
      <c r="A15" s="31">
        <v>3447</v>
      </c>
      <c r="B15" s="32" t="s">
        <v>27</v>
      </c>
      <c r="C15" s="16">
        <v>80000</v>
      </c>
      <c r="D15" s="17"/>
      <c r="E15" s="26"/>
      <c r="F15" s="26"/>
      <c r="G15" s="17"/>
      <c r="H15" s="17"/>
      <c r="I15" s="17"/>
      <c r="J15" s="17"/>
      <c r="K15" s="12">
        <f>SUM(C15:J15)-75000</f>
        <v>5000</v>
      </c>
      <c r="L15" s="23" t="s">
        <v>21</v>
      </c>
    </row>
    <row r="16" spans="1:12" x14ac:dyDescent="0.25">
      <c r="A16" s="31">
        <v>3448</v>
      </c>
      <c r="B16" s="32" t="s">
        <v>29</v>
      </c>
      <c r="C16" s="16"/>
      <c r="D16" s="17">
        <v>2200</v>
      </c>
      <c r="E16" s="26">
        <v>35000</v>
      </c>
      <c r="F16" s="26">
        <v>25000</v>
      </c>
      <c r="G16" s="17">
        <v>8000</v>
      </c>
      <c r="H16" s="17">
        <v>1500</v>
      </c>
      <c r="I16" s="17">
        <v>7500</v>
      </c>
      <c r="J16" s="17">
        <v>10000</v>
      </c>
      <c r="K16" s="12">
        <f t="shared" si="0"/>
        <v>89200</v>
      </c>
    </row>
    <row r="17" spans="1:12" x14ac:dyDescent="0.25">
      <c r="A17" s="15">
        <v>3450</v>
      </c>
      <c r="B17" s="15" t="s">
        <v>31</v>
      </c>
      <c r="C17" s="16">
        <v>240000</v>
      </c>
      <c r="D17" s="16"/>
      <c r="E17" s="26"/>
      <c r="F17" s="26"/>
      <c r="G17" s="17"/>
      <c r="H17" s="17"/>
      <c r="I17" s="17"/>
      <c r="J17" s="17"/>
      <c r="K17" s="12">
        <v>0</v>
      </c>
      <c r="L17" s="23" t="s">
        <v>21</v>
      </c>
    </row>
    <row r="18" spans="1:12" x14ac:dyDescent="0.25">
      <c r="A18" s="15">
        <v>3451</v>
      </c>
      <c r="B18" s="15" t="s">
        <v>33</v>
      </c>
      <c r="C18" s="16"/>
      <c r="D18" s="17">
        <v>20000</v>
      </c>
      <c r="E18" s="26">
        <v>72000</v>
      </c>
      <c r="F18" s="26">
        <v>70000</v>
      </c>
      <c r="G18" s="17">
        <v>25000</v>
      </c>
      <c r="H18" s="17">
        <v>12000</v>
      </c>
      <c r="I18" s="17">
        <v>40000</v>
      </c>
      <c r="J18" s="17"/>
      <c r="K18" s="12">
        <f t="shared" si="0"/>
        <v>239000</v>
      </c>
    </row>
    <row r="19" spans="1:12" x14ac:dyDescent="0.25">
      <c r="A19" s="15">
        <v>3460</v>
      </c>
      <c r="B19" s="15" t="s">
        <v>34</v>
      </c>
      <c r="C19" s="16">
        <v>65000</v>
      </c>
      <c r="D19" s="17"/>
      <c r="E19" s="26"/>
      <c r="F19" s="26"/>
      <c r="G19" s="17"/>
      <c r="H19" s="17"/>
      <c r="I19" s="17"/>
      <c r="J19" s="17"/>
      <c r="K19" s="12">
        <f>65000-60000</f>
        <v>5000</v>
      </c>
      <c r="L19" t="s">
        <v>21</v>
      </c>
    </row>
    <row r="20" spans="1:12" x14ac:dyDescent="0.25">
      <c r="A20" s="15">
        <v>3461</v>
      </c>
      <c r="B20" s="15" t="s">
        <v>35</v>
      </c>
      <c r="C20" s="16"/>
      <c r="D20" s="17"/>
      <c r="E20" s="26">
        <v>20000</v>
      </c>
      <c r="F20" s="26">
        <v>20000</v>
      </c>
      <c r="G20" s="17">
        <v>4500</v>
      </c>
      <c r="H20" s="17"/>
      <c r="I20" s="17">
        <v>19000</v>
      </c>
      <c r="J20" s="17"/>
      <c r="K20" s="12">
        <f t="shared" si="0"/>
        <v>63500</v>
      </c>
    </row>
    <row r="21" spans="1:12" x14ac:dyDescent="0.25">
      <c r="A21" s="15">
        <v>3600</v>
      </c>
      <c r="B21" s="15" t="s">
        <v>18</v>
      </c>
      <c r="C21" s="16">
        <v>6000</v>
      </c>
      <c r="D21" s="17"/>
      <c r="E21" s="26"/>
      <c r="F21" s="26"/>
      <c r="G21" s="17"/>
      <c r="H21" s="17"/>
      <c r="I21" s="17"/>
      <c r="J21" s="17">
        <v>75000</v>
      </c>
      <c r="K21" s="12">
        <f t="shared" si="0"/>
        <v>81000</v>
      </c>
    </row>
    <row r="22" spans="1:12" x14ac:dyDescent="0.25">
      <c r="A22" s="15">
        <v>3630</v>
      </c>
      <c r="B22" s="15" t="s">
        <v>36</v>
      </c>
      <c r="C22" s="16"/>
      <c r="D22" s="17"/>
      <c r="E22" s="26">
        <v>30000</v>
      </c>
      <c r="F22" s="26"/>
      <c r="G22" s="17"/>
      <c r="H22" s="17"/>
      <c r="I22" s="17"/>
      <c r="J22" s="17"/>
      <c r="K22" s="12">
        <f t="shared" si="0"/>
        <v>30000</v>
      </c>
    </row>
    <row r="23" spans="1:12" x14ac:dyDescent="0.25">
      <c r="A23" s="15">
        <v>3660</v>
      </c>
      <c r="B23" s="15" t="s">
        <v>37</v>
      </c>
      <c r="C23" s="16"/>
      <c r="D23" s="17"/>
      <c r="E23" s="18"/>
      <c r="F23" s="17">
        <v>80000</v>
      </c>
      <c r="G23" s="17">
        <v>55000</v>
      </c>
      <c r="H23" s="17"/>
      <c r="I23" s="17">
        <v>16000</v>
      </c>
      <c r="J23" s="17"/>
      <c r="K23" s="12">
        <v>0</v>
      </c>
      <c r="L23" t="s">
        <v>21</v>
      </c>
    </row>
    <row r="24" spans="1:12" x14ac:dyDescent="0.25">
      <c r="A24" s="15">
        <v>3921</v>
      </c>
      <c r="B24" s="15" t="s">
        <v>38</v>
      </c>
      <c r="C24" s="17">
        <v>95000</v>
      </c>
      <c r="D24" s="17"/>
      <c r="E24" s="18"/>
      <c r="F24" s="17"/>
      <c r="G24" s="17"/>
      <c r="H24" s="17"/>
      <c r="I24" s="17"/>
      <c r="J24" s="17"/>
      <c r="K24" s="12">
        <f t="shared" si="0"/>
        <v>95000</v>
      </c>
    </row>
    <row r="25" spans="1:12" x14ac:dyDescent="0.25">
      <c r="A25" s="15">
        <v>3922</v>
      </c>
      <c r="B25" s="15" t="s">
        <v>39</v>
      </c>
      <c r="C25" s="17"/>
      <c r="D25" s="17">
        <v>30000</v>
      </c>
      <c r="E25" s="18">
        <v>250000</v>
      </c>
      <c r="F25" s="17">
        <v>70000</v>
      </c>
      <c r="G25" s="17">
        <v>18000</v>
      </c>
      <c r="H25" s="17">
        <v>4600</v>
      </c>
      <c r="I25" s="17">
        <v>80000</v>
      </c>
      <c r="J25" s="17"/>
      <c r="K25" s="12">
        <f t="shared" si="0"/>
        <v>452600</v>
      </c>
    </row>
    <row r="26" spans="1:12" x14ac:dyDescent="0.25">
      <c r="A26" s="15">
        <v>3970</v>
      </c>
      <c r="B26" s="15" t="s">
        <v>40</v>
      </c>
      <c r="C26" s="17"/>
      <c r="D26" s="17"/>
      <c r="E26" s="18">
        <v>150000</v>
      </c>
      <c r="F26" s="17">
        <v>40000</v>
      </c>
      <c r="G26" s="17">
        <v>8000</v>
      </c>
      <c r="H26" s="17"/>
      <c r="I26" s="17">
        <v>10000</v>
      </c>
      <c r="J26" s="17"/>
      <c r="K26" s="12">
        <f t="shared" si="0"/>
        <v>208000</v>
      </c>
    </row>
    <row r="27" spans="1:12" x14ac:dyDescent="0.25">
      <c r="A27" s="15">
        <v>3990</v>
      </c>
      <c r="B27" s="15" t="s">
        <v>41</v>
      </c>
      <c r="C27" s="17"/>
      <c r="D27" s="17"/>
      <c r="E27" s="18"/>
      <c r="F27" s="17"/>
      <c r="G27" s="17"/>
      <c r="H27" s="17">
        <v>2000</v>
      </c>
      <c r="I27" s="17">
        <v>2000</v>
      </c>
      <c r="J27" s="17"/>
      <c r="K27" s="12">
        <f t="shared" si="0"/>
        <v>4000</v>
      </c>
    </row>
    <row r="28" spans="1:12" s="13" customFormat="1" ht="12.75" x14ac:dyDescent="0.2">
      <c r="A28" s="10" t="s">
        <v>125</v>
      </c>
      <c r="B28" s="34"/>
      <c r="C28" s="35">
        <f t="shared" ref="C28:K28" si="1">SUM(C3:C27)</f>
        <v>666000</v>
      </c>
      <c r="D28" s="35">
        <f t="shared" si="1"/>
        <v>54700</v>
      </c>
      <c r="E28" s="35">
        <f t="shared" si="1"/>
        <v>1020000</v>
      </c>
      <c r="F28" s="35">
        <f t="shared" si="1"/>
        <v>505000</v>
      </c>
      <c r="G28" s="35">
        <f t="shared" si="1"/>
        <v>166000</v>
      </c>
      <c r="H28" s="35">
        <f t="shared" si="1"/>
        <v>20100</v>
      </c>
      <c r="I28" s="35">
        <f t="shared" si="1"/>
        <v>219500</v>
      </c>
      <c r="J28" s="35">
        <f t="shared" si="1"/>
        <v>205000</v>
      </c>
      <c r="K28" s="36">
        <f t="shared" si="1"/>
        <v>2187800</v>
      </c>
    </row>
    <row r="29" spans="1:12" s="13" customFormat="1" ht="12.75" x14ac:dyDescent="0.2">
      <c r="A29" s="38"/>
      <c r="B29" s="39"/>
      <c r="C29" s="40"/>
      <c r="D29" s="40"/>
      <c r="E29" s="40"/>
      <c r="F29" s="40"/>
      <c r="G29" s="40"/>
      <c r="H29" s="40"/>
      <c r="I29" s="40"/>
      <c r="J29" s="40"/>
      <c r="K29" s="14"/>
    </row>
    <row r="30" spans="1:12" s="13" customFormat="1" ht="12.75" x14ac:dyDescent="0.2">
      <c r="A30" s="38"/>
      <c r="B30" s="39"/>
      <c r="C30" s="40"/>
      <c r="D30" s="40"/>
      <c r="E30" s="40"/>
      <c r="F30" s="40"/>
      <c r="G30" s="40"/>
      <c r="H30" s="40"/>
      <c r="I30" s="40"/>
      <c r="J30" s="40"/>
      <c r="K30" s="14"/>
    </row>
    <row r="31" spans="1:12" s="13" customFormat="1" ht="12.75" x14ac:dyDescent="0.2">
      <c r="A31" s="38"/>
      <c r="B31" s="39"/>
      <c r="C31" s="40"/>
      <c r="D31" s="40"/>
      <c r="E31" s="40"/>
      <c r="F31" s="40"/>
      <c r="G31" s="40"/>
      <c r="H31" s="40"/>
      <c r="I31" s="40"/>
      <c r="J31" s="40"/>
      <c r="K31" s="14"/>
    </row>
    <row r="32" spans="1:12" s="13" customFormat="1" ht="12.75" x14ac:dyDescent="0.2">
      <c r="A32" s="38"/>
      <c r="B32" s="39"/>
      <c r="C32" s="40"/>
      <c r="D32" s="40"/>
      <c r="E32" s="40"/>
      <c r="F32" s="40"/>
      <c r="G32" s="40"/>
      <c r="H32" s="40"/>
      <c r="I32" s="40"/>
      <c r="J32" s="40"/>
      <c r="K32" s="14"/>
    </row>
    <row r="33" spans="1:11" s="13" customFormat="1" ht="12.75" x14ac:dyDescent="0.2">
      <c r="A33" s="38"/>
      <c r="B33" s="39"/>
      <c r="C33" s="40"/>
      <c r="D33" s="40"/>
      <c r="E33" s="40"/>
      <c r="F33" s="40"/>
      <c r="G33" s="40"/>
      <c r="H33" s="40"/>
      <c r="I33" s="40"/>
      <c r="J33" s="40"/>
      <c r="K33" s="14"/>
    </row>
    <row r="34" spans="1:11" s="13" customFormat="1" ht="12.75" x14ac:dyDescent="0.2">
      <c r="A34" s="38"/>
      <c r="B34" s="39"/>
      <c r="C34" s="41"/>
      <c r="D34" s="41"/>
      <c r="E34" s="41"/>
      <c r="F34" s="41"/>
      <c r="G34" s="40"/>
      <c r="H34" s="40"/>
      <c r="I34" s="40"/>
      <c r="J34" s="40"/>
      <c r="K34" s="14"/>
    </row>
    <row r="35" spans="1:11" x14ac:dyDescent="0.25">
      <c r="A35" s="42" t="s">
        <v>28</v>
      </c>
      <c r="B35" s="43"/>
      <c r="C35" s="11" t="s">
        <v>1</v>
      </c>
      <c r="D35" s="11" t="s">
        <v>2</v>
      </c>
      <c r="E35" s="11" t="s">
        <v>3</v>
      </c>
      <c r="F35" s="11" t="s">
        <v>4</v>
      </c>
      <c r="G35" s="11" t="s">
        <v>5</v>
      </c>
      <c r="H35" s="11" t="s">
        <v>6</v>
      </c>
      <c r="I35" s="11" t="s">
        <v>7</v>
      </c>
      <c r="J35" s="11" t="s">
        <v>8</v>
      </c>
      <c r="K35" s="12" t="s">
        <v>9</v>
      </c>
    </row>
    <row r="36" spans="1:11" x14ac:dyDescent="0.25">
      <c r="A36" s="15">
        <v>4300</v>
      </c>
      <c r="B36" s="44" t="s">
        <v>43</v>
      </c>
      <c r="C36" s="17"/>
      <c r="D36" s="17"/>
      <c r="E36" s="18">
        <v>310000</v>
      </c>
      <c r="F36" s="17">
        <f>40000+3000</f>
        <v>43000</v>
      </c>
      <c r="G36" s="45">
        <v>20000</v>
      </c>
      <c r="H36" s="17"/>
      <c r="I36" s="17">
        <v>5000</v>
      </c>
      <c r="J36" s="17"/>
      <c r="K36" s="12">
        <f t="shared" ref="K36:K84" si="2">SUM(C36:J36)</f>
        <v>378000</v>
      </c>
    </row>
    <row r="37" spans="1:11" x14ac:dyDescent="0.25">
      <c r="A37" s="15">
        <v>4350</v>
      </c>
      <c r="B37" s="15" t="s">
        <v>44</v>
      </c>
      <c r="C37" s="17"/>
      <c r="D37" s="17"/>
      <c r="E37" s="18">
        <v>153000</v>
      </c>
      <c r="F37" s="17">
        <v>40000</v>
      </c>
      <c r="G37" s="26">
        <v>19000</v>
      </c>
      <c r="H37" s="17"/>
      <c r="I37" s="17">
        <v>500</v>
      </c>
      <c r="J37" s="17"/>
      <c r="K37" s="12">
        <f t="shared" si="2"/>
        <v>212500</v>
      </c>
    </row>
    <row r="38" spans="1:11" x14ac:dyDescent="0.25">
      <c r="A38" s="15">
        <v>4351</v>
      </c>
      <c r="B38" s="15" t="s">
        <v>126</v>
      </c>
      <c r="C38" s="17"/>
      <c r="D38" s="17"/>
      <c r="E38" s="18"/>
      <c r="F38" s="17">
        <v>5000</v>
      </c>
      <c r="G38" s="26"/>
      <c r="H38" s="17"/>
      <c r="I38" s="17"/>
      <c r="J38" s="17"/>
      <c r="K38" s="12">
        <f t="shared" si="2"/>
        <v>5000</v>
      </c>
    </row>
    <row r="39" spans="1:11" x14ac:dyDescent="0.25">
      <c r="A39" s="15">
        <v>4360</v>
      </c>
      <c r="B39" s="15" t="s">
        <v>45</v>
      </c>
      <c r="C39" s="17"/>
      <c r="D39" s="17"/>
      <c r="E39" s="18"/>
      <c r="F39" s="17"/>
      <c r="G39" s="26"/>
      <c r="H39" s="17"/>
      <c r="I39" s="17">
        <v>4000</v>
      </c>
      <c r="J39" s="17"/>
      <c r="K39" s="12">
        <f t="shared" si="2"/>
        <v>4000</v>
      </c>
    </row>
    <row r="40" spans="1:11" x14ac:dyDescent="0.25">
      <c r="A40" s="15">
        <v>6301</v>
      </c>
      <c r="B40" s="15" t="s">
        <v>47</v>
      </c>
      <c r="C40" s="16">
        <v>42500</v>
      </c>
      <c r="D40" s="17"/>
      <c r="E40" s="47"/>
      <c r="F40" s="17"/>
      <c r="G40" s="17"/>
      <c r="H40" s="17"/>
      <c r="I40" s="17"/>
      <c r="J40" s="17"/>
      <c r="K40" s="12">
        <f t="shared" si="2"/>
        <v>42500</v>
      </c>
    </row>
    <row r="41" spans="1:11" x14ac:dyDescent="0.25">
      <c r="A41" s="15">
        <v>6310</v>
      </c>
      <c r="B41" s="15" t="s">
        <v>48</v>
      </c>
      <c r="C41" s="17"/>
      <c r="D41" s="17">
        <v>11000</v>
      </c>
      <c r="E41" s="26">
        <v>700</v>
      </c>
      <c r="F41" s="26"/>
      <c r="G41" s="17"/>
      <c r="H41" s="17"/>
      <c r="I41" s="17">
        <v>1000</v>
      </c>
      <c r="J41" s="17"/>
      <c r="K41" s="12">
        <f t="shared" si="2"/>
        <v>12700</v>
      </c>
    </row>
    <row r="42" spans="1:11" x14ac:dyDescent="0.25">
      <c r="A42" s="15">
        <v>6600</v>
      </c>
      <c r="B42" s="15" t="s">
        <v>49</v>
      </c>
      <c r="C42" s="17"/>
      <c r="D42" s="17"/>
      <c r="E42" s="26">
        <v>35000</v>
      </c>
      <c r="F42" s="26">
        <v>5000</v>
      </c>
      <c r="G42" s="17">
        <v>1500</v>
      </c>
      <c r="H42" s="17"/>
      <c r="I42" s="17"/>
      <c r="J42" s="17">
        <f>6000+1000</f>
        <v>7000</v>
      </c>
      <c r="K42" s="12">
        <f t="shared" si="2"/>
        <v>48500</v>
      </c>
    </row>
    <row r="43" spans="1:11" x14ac:dyDescent="0.25">
      <c r="A43" s="15">
        <v>6620</v>
      </c>
      <c r="B43" s="15" t="s">
        <v>50</v>
      </c>
      <c r="C43" s="17">
        <v>0</v>
      </c>
      <c r="D43" s="17"/>
      <c r="E43" s="26">
        <v>15000</v>
      </c>
      <c r="F43" s="26"/>
      <c r="G43" s="17"/>
      <c r="H43" s="17"/>
      <c r="I43" s="17"/>
      <c r="J43" s="17">
        <v>6000</v>
      </c>
      <c r="K43" s="12">
        <f t="shared" si="2"/>
        <v>21000</v>
      </c>
    </row>
    <row r="44" spans="1:11" x14ac:dyDescent="0.25">
      <c r="A44" s="30">
        <v>6630</v>
      </c>
      <c r="B44" s="30" t="s">
        <v>51</v>
      </c>
      <c r="C44" s="17">
        <v>4000</v>
      </c>
      <c r="D44" s="16"/>
      <c r="E44" s="26">
        <v>3000</v>
      </c>
      <c r="F44" s="26">
        <v>3000</v>
      </c>
      <c r="G44" s="17">
        <v>1000</v>
      </c>
      <c r="H44" s="17"/>
      <c r="I44" s="17">
        <v>1000</v>
      </c>
      <c r="J44" s="17">
        <v>11000</v>
      </c>
      <c r="K44" s="12">
        <f t="shared" si="2"/>
        <v>23000</v>
      </c>
    </row>
    <row r="45" spans="1:11" x14ac:dyDescent="0.25">
      <c r="A45" s="15">
        <v>6640</v>
      </c>
      <c r="B45" s="15" t="s">
        <v>52</v>
      </c>
      <c r="C45" s="17"/>
      <c r="D45" s="17"/>
      <c r="E45" s="26">
        <v>5000</v>
      </c>
      <c r="F45" s="26">
        <v>6000</v>
      </c>
      <c r="G45" s="17"/>
      <c r="H45" s="17"/>
      <c r="I45" s="17"/>
      <c r="J45" s="17"/>
      <c r="K45" s="12">
        <f t="shared" si="2"/>
        <v>11000</v>
      </c>
    </row>
    <row r="46" spans="1:11" x14ac:dyDescent="0.25">
      <c r="A46" s="15">
        <v>6700</v>
      </c>
      <c r="B46" s="15" t="s">
        <v>53</v>
      </c>
      <c r="C46" s="17">
        <v>7500</v>
      </c>
      <c r="D46" s="17"/>
      <c r="E46" s="26"/>
      <c r="F46" s="26"/>
      <c r="G46" s="17"/>
      <c r="H46" s="17"/>
      <c r="I46" s="17"/>
      <c r="J46" s="17"/>
      <c r="K46" s="12">
        <f t="shared" si="2"/>
        <v>7500</v>
      </c>
    </row>
    <row r="47" spans="1:11" x14ac:dyDescent="0.25">
      <c r="A47" s="15">
        <v>6721</v>
      </c>
      <c r="B47" s="15" t="s">
        <v>54</v>
      </c>
      <c r="C47" s="17"/>
      <c r="D47" s="17"/>
      <c r="E47" s="26"/>
      <c r="F47" s="26">
        <v>1000</v>
      </c>
      <c r="G47" s="17"/>
      <c r="H47" s="17"/>
      <c r="I47" s="17"/>
      <c r="J47" s="17"/>
      <c r="K47" s="12">
        <f t="shared" si="2"/>
        <v>1000</v>
      </c>
    </row>
    <row r="48" spans="1:11" x14ac:dyDescent="0.25">
      <c r="A48" s="15">
        <v>6800</v>
      </c>
      <c r="B48" s="15" t="s">
        <v>55</v>
      </c>
      <c r="C48" s="17">
        <v>3000</v>
      </c>
      <c r="D48" s="17"/>
      <c r="E48" s="26">
        <v>5000</v>
      </c>
      <c r="F48" s="26">
        <v>6000</v>
      </c>
      <c r="G48" s="17">
        <v>4000</v>
      </c>
      <c r="H48" s="17">
        <v>300</v>
      </c>
      <c r="I48" s="17">
        <v>200</v>
      </c>
      <c r="J48" s="17"/>
      <c r="K48" s="12">
        <f t="shared" si="2"/>
        <v>18500</v>
      </c>
    </row>
    <row r="49" spans="1:12" x14ac:dyDescent="0.25">
      <c r="A49" s="15">
        <v>6810</v>
      </c>
      <c r="B49" s="15" t="s">
        <v>56</v>
      </c>
      <c r="C49" s="17">
        <v>29500</v>
      </c>
      <c r="D49" s="17">
        <v>1000</v>
      </c>
      <c r="E49" s="26">
        <v>35000</v>
      </c>
      <c r="F49" s="26">
        <v>23000</v>
      </c>
      <c r="G49" s="17">
        <v>10000</v>
      </c>
      <c r="H49" s="17">
        <v>50</v>
      </c>
      <c r="I49" s="17">
        <v>5000</v>
      </c>
      <c r="J49" s="17">
        <v>5000</v>
      </c>
      <c r="K49" s="12">
        <f t="shared" si="2"/>
        <v>108550</v>
      </c>
    </row>
    <row r="50" spans="1:12" x14ac:dyDescent="0.25">
      <c r="A50" s="15">
        <v>6811</v>
      </c>
      <c r="B50" s="15" t="s">
        <v>57</v>
      </c>
      <c r="C50" s="17">
        <v>6500</v>
      </c>
      <c r="D50" s="17"/>
      <c r="E50" s="26">
        <v>20000</v>
      </c>
      <c r="F50" s="26">
        <v>6500</v>
      </c>
      <c r="G50" s="17"/>
      <c r="H50" s="17"/>
      <c r="I50" s="17">
        <v>3000</v>
      </c>
      <c r="J50" s="17">
        <v>2600</v>
      </c>
      <c r="K50" s="12">
        <f t="shared" si="2"/>
        <v>38600</v>
      </c>
    </row>
    <row r="51" spans="1:12" x14ac:dyDescent="0.25">
      <c r="A51" s="15">
        <v>6860</v>
      </c>
      <c r="B51" s="15" t="s">
        <v>58</v>
      </c>
      <c r="C51" s="17">
        <v>1000</v>
      </c>
      <c r="D51" s="17"/>
      <c r="E51" s="26"/>
      <c r="F51" s="26">
        <v>4000</v>
      </c>
      <c r="G51" s="17"/>
      <c r="H51" s="17"/>
      <c r="I51" s="17"/>
      <c r="J51" s="17"/>
      <c r="K51" s="12">
        <f t="shared" si="2"/>
        <v>5000</v>
      </c>
    </row>
    <row r="52" spans="1:12" x14ac:dyDescent="0.25">
      <c r="A52" s="31">
        <v>6900</v>
      </c>
      <c r="B52" s="31" t="s">
        <v>59</v>
      </c>
      <c r="C52" s="17"/>
      <c r="D52" s="17"/>
      <c r="E52" s="26">
        <v>1500</v>
      </c>
      <c r="F52" s="26"/>
      <c r="G52" s="17">
        <v>1000</v>
      </c>
      <c r="H52" s="17"/>
      <c r="I52" s="17">
        <v>800</v>
      </c>
      <c r="J52" s="17"/>
      <c r="K52" s="12">
        <f t="shared" si="2"/>
        <v>3300</v>
      </c>
    </row>
    <row r="53" spans="1:12" x14ac:dyDescent="0.25">
      <c r="A53" s="48">
        <v>6910</v>
      </c>
      <c r="B53" s="48" t="s">
        <v>60</v>
      </c>
      <c r="C53" s="17">
        <v>17000</v>
      </c>
      <c r="D53" s="17"/>
      <c r="E53" s="26"/>
      <c r="F53" s="26"/>
      <c r="G53" s="17"/>
      <c r="H53" s="17"/>
      <c r="I53" s="17"/>
      <c r="J53" s="17"/>
      <c r="K53" s="12">
        <f t="shared" si="2"/>
        <v>17000</v>
      </c>
    </row>
    <row r="54" spans="1:12" x14ac:dyDescent="0.25">
      <c r="A54" s="48">
        <v>7310</v>
      </c>
      <c r="B54" s="48" t="s">
        <v>61</v>
      </c>
      <c r="C54" s="17"/>
      <c r="D54" s="17"/>
      <c r="E54" s="26"/>
      <c r="F54" s="26">
        <v>3000</v>
      </c>
      <c r="G54" s="17"/>
      <c r="H54" s="17"/>
      <c r="I54" s="17">
        <v>300</v>
      </c>
      <c r="J54" s="17"/>
      <c r="K54" s="12">
        <f t="shared" si="2"/>
        <v>3300</v>
      </c>
    </row>
    <row r="55" spans="1:12" x14ac:dyDescent="0.25">
      <c r="A55" s="15">
        <v>7320</v>
      </c>
      <c r="B55" s="15" t="s">
        <v>62</v>
      </c>
      <c r="C55" s="16">
        <v>500</v>
      </c>
      <c r="D55" s="16"/>
      <c r="E55" s="26">
        <v>2000</v>
      </c>
      <c r="F55" s="26">
        <v>5000</v>
      </c>
      <c r="G55" s="17">
        <v>1500</v>
      </c>
      <c r="H55" s="17"/>
      <c r="I55" s="17"/>
      <c r="J55" s="17"/>
      <c r="K55" s="12">
        <f t="shared" si="2"/>
        <v>9000</v>
      </c>
    </row>
    <row r="56" spans="1:12" x14ac:dyDescent="0.25">
      <c r="A56" s="15">
        <v>7370</v>
      </c>
      <c r="B56" s="15" t="s">
        <v>63</v>
      </c>
      <c r="C56" s="16"/>
      <c r="D56" s="16">
        <v>30000</v>
      </c>
      <c r="E56" s="26">
        <v>50000</v>
      </c>
      <c r="F56" s="26">
        <v>80000</v>
      </c>
      <c r="G56" s="17">
        <v>12000</v>
      </c>
      <c r="H56" s="17"/>
      <c r="I56" s="17">
        <v>125000</v>
      </c>
      <c r="J56" s="17"/>
      <c r="K56" s="12">
        <f t="shared" si="2"/>
        <v>297000</v>
      </c>
    </row>
    <row r="57" spans="1:12" x14ac:dyDescent="0.25">
      <c r="A57" s="15">
        <v>7380</v>
      </c>
      <c r="B57" s="15" t="s">
        <v>64</v>
      </c>
      <c r="C57" s="16"/>
      <c r="D57" s="16"/>
      <c r="E57" s="26"/>
      <c r="F57" s="26">
        <v>10000</v>
      </c>
      <c r="G57" s="17"/>
      <c r="H57" s="17"/>
      <c r="I57" s="17">
        <v>20000</v>
      </c>
      <c r="J57" s="17"/>
      <c r="K57" s="12">
        <f t="shared" si="2"/>
        <v>30000</v>
      </c>
    </row>
    <row r="58" spans="1:12" x14ac:dyDescent="0.25">
      <c r="A58" s="15">
        <v>7390</v>
      </c>
      <c r="B58" s="15" t="s">
        <v>127</v>
      </c>
      <c r="C58" s="16"/>
      <c r="D58" s="16"/>
      <c r="E58" s="26"/>
      <c r="F58" s="79"/>
      <c r="G58" s="17">
        <v>3500</v>
      </c>
      <c r="H58" s="17"/>
      <c r="I58" s="17"/>
      <c r="J58" s="17"/>
      <c r="K58" s="12">
        <f t="shared" si="2"/>
        <v>3500</v>
      </c>
    </row>
    <row r="59" spans="1:12" x14ac:dyDescent="0.25">
      <c r="A59" s="15">
        <v>7400</v>
      </c>
      <c r="B59" s="15" t="s">
        <v>65</v>
      </c>
      <c r="C59" s="16">
        <v>90000</v>
      </c>
      <c r="D59" s="11"/>
      <c r="E59" s="26"/>
      <c r="F59" s="26"/>
      <c r="G59" s="17"/>
      <c r="H59" s="17"/>
      <c r="I59" s="17"/>
      <c r="J59" s="17"/>
      <c r="K59" s="12">
        <v>0</v>
      </c>
      <c r="L59" t="s">
        <v>21</v>
      </c>
    </row>
    <row r="60" spans="1:12" x14ac:dyDescent="0.25">
      <c r="A60" s="15">
        <v>7410</v>
      </c>
      <c r="B60" s="15" t="s">
        <v>66</v>
      </c>
      <c r="C60" s="16">
        <v>500</v>
      </c>
      <c r="D60" s="49"/>
      <c r="E60" s="26">
        <v>500</v>
      </c>
      <c r="F60" s="26"/>
      <c r="G60" s="17"/>
      <c r="H60" s="17"/>
      <c r="I60" s="17">
        <v>1000</v>
      </c>
      <c r="J60" s="17"/>
      <c r="K60" s="12">
        <f t="shared" si="2"/>
        <v>2000</v>
      </c>
    </row>
    <row r="61" spans="1:12" x14ac:dyDescent="0.25">
      <c r="A61" s="15">
        <v>7420</v>
      </c>
      <c r="B61" s="15" t="s">
        <v>128</v>
      </c>
      <c r="C61" s="16">
        <v>1500</v>
      </c>
      <c r="D61" s="17"/>
      <c r="E61" s="26">
        <v>63000</v>
      </c>
      <c r="F61" s="26">
        <v>1000</v>
      </c>
      <c r="G61" s="17">
        <v>2000</v>
      </c>
      <c r="H61" s="17">
        <v>600</v>
      </c>
      <c r="I61" s="17">
        <v>10000</v>
      </c>
      <c r="J61" s="17"/>
      <c r="K61" s="12">
        <f t="shared" si="2"/>
        <v>78100</v>
      </c>
    </row>
    <row r="62" spans="1:12" x14ac:dyDescent="0.25">
      <c r="A62" s="15">
        <v>7440</v>
      </c>
      <c r="B62" s="15" t="s">
        <v>68</v>
      </c>
      <c r="C62" s="16">
        <v>52500</v>
      </c>
      <c r="D62" s="17"/>
      <c r="E62" s="26"/>
      <c r="F62" s="26"/>
      <c r="G62" s="17"/>
      <c r="H62" s="17"/>
      <c r="I62" s="17"/>
      <c r="J62" s="17"/>
      <c r="K62" s="12">
        <v>0</v>
      </c>
      <c r="L62" t="s">
        <v>21</v>
      </c>
    </row>
    <row r="63" spans="1:12" x14ac:dyDescent="0.25">
      <c r="A63" s="15">
        <v>7450</v>
      </c>
      <c r="B63" s="15" t="s">
        <v>69</v>
      </c>
      <c r="C63" s="16">
        <v>240000</v>
      </c>
      <c r="D63" s="22"/>
      <c r="E63" s="80"/>
      <c r="F63" s="22"/>
      <c r="G63" s="17"/>
      <c r="H63" s="17"/>
      <c r="I63" s="17"/>
      <c r="J63" s="17"/>
      <c r="K63" s="12">
        <v>0</v>
      </c>
      <c r="L63" t="s">
        <v>21</v>
      </c>
    </row>
    <row r="64" spans="1:12" x14ac:dyDescent="0.25">
      <c r="A64" s="15">
        <v>7451</v>
      </c>
      <c r="B64" s="15" t="s">
        <v>70</v>
      </c>
      <c r="C64" s="16"/>
      <c r="D64" s="22"/>
      <c r="E64" s="80">
        <v>65000</v>
      </c>
      <c r="F64" s="21">
        <v>70000</v>
      </c>
      <c r="G64" s="17">
        <v>22000</v>
      </c>
      <c r="H64" s="17">
        <v>1500</v>
      </c>
      <c r="I64" s="17"/>
      <c r="J64" s="17"/>
      <c r="K64" s="12">
        <f t="shared" si="2"/>
        <v>158500</v>
      </c>
    </row>
    <row r="65" spans="1:12" x14ac:dyDescent="0.25">
      <c r="A65" s="51">
        <v>7455</v>
      </c>
      <c r="B65" s="52" t="s">
        <v>71</v>
      </c>
      <c r="C65" s="16">
        <v>75000</v>
      </c>
      <c r="D65" s="22"/>
      <c r="E65" s="80"/>
      <c r="F65" s="21"/>
      <c r="G65" s="17"/>
      <c r="H65" s="17"/>
      <c r="I65" s="17"/>
      <c r="J65" s="17"/>
      <c r="K65" s="12">
        <v>0</v>
      </c>
      <c r="L65" t="s">
        <v>21</v>
      </c>
    </row>
    <row r="66" spans="1:12" x14ac:dyDescent="0.25">
      <c r="A66" s="15">
        <v>7460</v>
      </c>
      <c r="B66" s="15" t="s">
        <v>72</v>
      </c>
      <c r="C66" s="16">
        <v>60000</v>
      </c>
      <c r="D66" s="22"/>
      <c r="E66" s="80"/>
      <c r="F66" s="22"/>
      <c r="G66" s="17"/>
      <c r="H66" s="17"/>
      <c r="I66" s="17"/>
      <c r="J66" s="17"/>
      <c r="K66" s="12">
        <v>0</v>
      </c>
      <c r="L66" t="s">
        <v>21</v>
      </c>
    </row>
    <row r="67" spans="1:12" s="54" customFormat="1" x14ac:dyDescent="0.25">
      <c r="A67" s="64" t="s">
        <v>129</v>
      </c>
      <c r="B67" s="64"/>
      <c r="C67" s="11">
        <f>SUM(C36:C66)</f>
        <v>631000</v>
      </c>
      <c r="D67" s="11">
        <f t="shared" ref="D67:K67" si="3">SUM(D36:D66)</f>
        <v>42000</v>
      </c>
      <c r="E67" s="11">
        <f t="shared" si="3"/>
        <v>763700</v>
      </c>
      <c r="F67" s="11">
        <f t="shared" si="3"/>
        <v>311500</v>
      </c>
      <c r="G67" s="11">
        <f t="shared" si="3"/>
        <v>97500</v>
      </c>
      <c r="H67" s="11">
        <f t="shared" si="3"/>
        <v>2450</v>
      </c>
      <c r="I67" s="11">
        <f t="shared" si="3"/>
        <v>176800</v>
      </c>
      <c r="J67" s="11">
        <f t="shared" si="3"/>
        <v>31600</v>
      </c>
      <c r="K67" s="11">
        <f t="shared" si="3"/>
        <v>1539050</v>
      </c>
    </row>
    <row r="68" spans="1:12" s="54" customFormat="1" x14ac:dyDescent="0.25">
      <c r="A68" s="42" t="s">
        <v>75</v>
      </c>
      <c r="B68" s="64"/>
      <c r="C68" s="11" t="s">
        <v>1</v>
      </c>
      <c r="D68" s="11" t="s">
        <v>2</v>
      </c>
      <c r="E68" s="11" t="s">
        <v>3</v>
      </c>
      <c r="F68" s="11" t="s">
        <v>4</v>
      </c>
      <c r="G68" s="11" t="s">
        <v>5</v>
      </c>
      <c r="H68" s="11" t="s">
        <v>6</v>
      </c>
      <c r="I68" s="11"/>
      <c r="J68" s="11" t="s">
        <v>8</v>
      </c>
      <c r="K68" s="12" t="s">
        <v>9</v>
      </c>
    </row>
    <row r="69" spans="1:12" s="54" customFormat="1" x14ac:dyDescent="0.25">
      <c r="A69" s="64" t="s">
        <v>130</v>
      </c>
      <c r="B69" s="64"/>
      <c r="C69" s="11">
        <v>631000</v>
      </c>
      <c r="D69" s="11">
        <v>42000</v>
      </c>
      <c r="E69" s="11">
        <v>763700</v>
      </c>
      <c r="F69" s="11">
        <v>311500</v>
      </c>
      <c r="G69" s="11">
        <v>97500</v>
      </c>
      <c r="H69" s="11">
        <v>2450</v>
      </c>
      <c r="I69" s="11">
        <v>176800</v>
      </c>
      <c r="J69" s="11">
        <v>31600</v>
      </c>
      <c r="K69" s="11">
        <v>1539050</v>
      </c>
    </row>
    <row r="70" spans="1:12" x14ac:dyDescent="0.25">
      <c r="A70" s="15">
        <v>7490</v>
      </c>
      <c r="B70" s="15" t="s">
        <v>73</v>
      </c>
      <c r="C70" s="16"/>
      <c r="D70" s="17"/>
      <c r="E70" s="18"/>
      <c r="F70" s="17"/>
      <c r="G70" s="17"/>
      <c r="H70" s="17"/>
      <c r="I70" s="17"/>
      <c r="J70" s="17">
        <v>170000</v>
      </c>
      <c r="K70" s="12">
        <f>SUM(C70:J70)-151000</f>
        <v>19000</v>
      </c>
      <c r="L70" t="s">
        <v>21</v>
      </c>
    </row>
    <row r="71" spans="1:12" x14ac:dyDescent="0.25">
      <c r="A71" s="15">
        <v>7510</v>
      </c>
      <c r="B71" s="15" t="s">
        <v>76</v>
      </c>
      <c r="C71" s="16">
        <v>29000</v>
      </c>
      <c r="D71" s="17"/>
      <c r="E71" s="18">
        <v>3000</v>
      </c>
      <c r="F71" s="17"/>
      <c r="G71" s="17"/>
      <c r="H71" s="17"/>
      <c r="I71" s="17">
        <v>12000</v>
      </c>
      <c r="J71" s="17"/>
      <c r="K71" s="12">
        <f t="shared" si="2"/>
        <v>44000</v>
      </c>
    </row>
    <row r="72" spans="1:12" x14ac:dyDescent="0.25">
      <c r="A72" s="55">
        <v>7630</v>
      </c>
      <c r="B72" s="15" t="s">
        <v>131</v>
      </c>
      <c r="C72" s="16"/>
      <c r="D72" s="17"/>
      <c r="E72" s="81">
        <v>210000</v>
      </c>
      <c r="F72" s="17">
        <v>10000</v>
      </c>
      <c r="G72" s="17"/>
      <c r="H72" s="17"/>
      <c r="I72" s="17"/>
      <c r="J72" s="17"/>
      <c r="K72" s="12">
        <f t="shared" si="2"/>
        <v>220000</v>
      </c>
    </row>
    <row r="73" spans="1:12" x14ac:dyDescent="0.25">
      <c r="A73" s="15">
        <v>7710</v>
      </c>
      <c r="B73" s="15" t="s">
        <v>78</v>
      </c>
      <c r="C73" s="16"/>
      <c r="D73" s="17"/>
      <c r="E73" s="18">
        <v>6000</v>
      </c>
      <c r="F73" s="17">
        <v>8000</v>
      </c>
      <c r="G73" s="17">
        <v>0</v>
      </c>
      <c r="H73" s="17"/>
      <c r="I73" s="17"/>
      <c r="J73" s="17"/>
      <c r="K73" s="12">
        <f t="shared" si="2"/>
        <v>14000</v>
      </c>
    </row>
    <row r="74" spans="1:12" s="23" customFormat="1" ht="12.75" x14ac:dyDescent="0.2">
      <c r="A74" s="15">
        <v>7715</v>
      </c>
      <c r="B74" s="15" t="s">
        <v>79</v>
      </c>
      <c r="C74" s="16"/>
      <c r="D74" s="16"/>
      <c r="E74" s="16">
        <v>10000</v>
      </c>
      <c r="F74" s="16"/>
      <c r="G74" s="16"/>
      <c r="H74" s="16"/>
      <c r="I74" s="16"/>
      <c r="J74" s="16"/>
      <c r="K74" s="12">
        <f t="shared" si="2"/>
        <v>10000</v>
      </c>
    </row>
    <row r="75" spans="1:12" x14ac:dyDescent="0.25">
      <c r="A75" s="15">
        <v>7730</v>
      </c>
      <c r="B75" s="15" t="s">
        <v>80</v>
      </c>
      <c r="C75" s="16"/>
      <c r="D75" s="17">
        <v>10000</v>
      </c>
      <c r="E75" s="18">
        <v>15000</v>
      </c>
      <c r="F75" s="17">
        <v>15000</v>
      </c>
      <c r="G75" s="17">
        <v>8000</v>
      </c>
      <c r="H75" s="17"/>
      <c r="I75" s="17">
        <v>3000</v>
      </c>
      <c r="J75" s="17"/>
      <c r="K75" s="12">
        <f t="shared" si="2"/>
        <v>51000</v>
      </c>
    </row>
    <row r="76" spans="1:12" x14ac:dyDescent="0.25">
      <c r="A76" s="15">
        <v>7735</v>
      </c>
      <c r="B76" s="15" t="s">
        <v>81</v>
      </c>
      <c r="C76" s="16"/>
      <c r="D76" s="17"/>
      <c r="E76" s="18">
        <v>30000</v>
      </c>
      <c r="F76" s="17">
        <v>40000</v>
      </c>
      <c r="G76" s="17">
        <v>10000</v>
      </c>
      <c r="H76" s="17"/>
      <c r="I76" s="17"/>
      <c r="J76" s="17"/>
      <c r="K76" s="12">
        <f t="shared" si="2"/>
        <v>80000</v>
      </c>
    </row>
    <row r="77" spans="1:12" x14ac:dyDescent="0.25">
      <c r="A77" s="15">
        <v>7740</v>
      </c>
      <c r="B77" s="15" t="s">
        <v>82</v>
      </c>
      <c r="C77" s="16"/>
      <c r="D77" s="17"/>
      <c r="E77" s="18">
        <v>8000</v>
      </c>
      <c r="F77" s="17">
        <v>8000</v>
      </c>
      <c r="G77" s="17">
        <v>1500</v>
      </c>
      <c r="H77" s="17"/>
      <c r="I77" s="17"/>
      <c r="J77" s="17"/>
      <c r="K77" s="12">
        <f t="shared" si="2"/>
        <v>17500</v>
      </c>
    </row>
    <row r="78" spans="1:12" x14ac:dyDescent="0.25">
      <c r="A78" s="30">
        <v>7750</v>
      </c>
      <c r="B78" s="30" t="s">
        <v>83</v>
      </c>
      <c r="C78" s="17"/>
      <c r="D78" s="17"/>
      <c r="E78" s="18">
        <v>12000</v>
      </c>
      <c r="F78" s="17">
        <v>3000</v>
      </c>
      <c r="G78" s="17">
        <v>0</v>
      </c>
      <c r="H78" s="17"/>
      <c r="I78" s="17"/>
      <c r="J78" s="17"/>
      <c r="K78" s="12">
        <f t="shared" si="2"/>
        <v>15000</v>
      </c>
    </row>
    <row r="79" spans="1:12" x14ac:dyDescent="0.25">
      <c r="A79" s="30">
        <v>7760</v>
      </c>
      <c r="B79" s="30" t="s">
        <v>85</v>
      </c>
      <c r="C79" s="17"/>
      <c r="D79" s="17"/>
      <c r="E79" s="18">
        <v>12000</v>
      </c>
      <c r="F79" s="17">
        <v>7000</v>
      </c>
      <c r="G79" s="17">
        <v>3000</v>
      </c>
      <c r="H79" s="17"/>
      <c r="I79" s="17">
        <v>6500</v>
      </c>
      <c r="J79" s="17"/>
      <c r="K79" s="12">
        <f t="shared" si="2"/>
        <v>28500</v>
      </c>
    </row>
    <row r="80" spans="1:12" x14ac:dyDescent="0.25">
      <c r="A80" s="30">
        <v>7770</v>
      </c>
      <c r="B80" s="30" t="s">
        <v>86</v>
      </c>
      <c r="C80" s="17"/>
      <c r="D80" s="17"/>
      <c r="E80" s="18">
        <v>10000</v>
      </c>
      <c r="F80" s="17">
        <v>100000</v>
      </c>
      <c r="G80" s="17">
        <v>35000</v>
      </c>
      <c r="H80" s="17"/>
      <c r="I80" s="17">
        <v>10000</v>
      </c>
      <c r="J80" s="17"/>
      <c r="K80" s="12">
        <f t="shared" si="2"/>
        <v>155000</v>
      </c>
    </row>
    <row r="81" spans="1:11" x14ac:dyDescent="0.25">
      <c r="A81" s="15">
        <v>7780</v>
      </c>
      <c r="B81" s="15" t="s">
        <v>87</v>
      </c>
      <c r="C81" s="17">
        <v>5000</v>
      </c>
      <c r="D81" s="17"/>
      <c r="E81" s="18">
        <v>10000</v>
      </c>
      <c r="F81" s="17">
        <v>20000</v>
      </c>
      <c r="G81" s="17">
        <v>20000</v>
      </c>
      <c r="H81" s="17">
        <v>15000</v>
      </c>
      <c r="I81" s="17">
        <v>8000</v>
      </c>
      <c r="J81" s="17"/>
      <c r="K81" s="12">
        <f t="shared" si="2"/>
        <v>78000</v>
      </c>
    </row>
    <row r="82" spans="1:11" x14ac:dyDescent="0.25">
      <c r="A82" s="55">
        <v>7830</v>
      </c>
      <c r="B82" s="55" t="s">
        <v>88</v>
      </c>
      <c r="C82" s="17"/>
      <c r="D82" s="17"/>
      <c r="E82" s="18">
        <v>500</v>
      </c>
      <c r="F82" s="17"/>
      <c r="G82" s="17"/>
      <c r="H82" s="17"/>
      <c r="I82" s="17"/>
      <c r="J82" s="17"/>
      <c r="K82" s="12">
        <f t="shared" si="2"/>
        <v>500</v>
      </c>
    </row>
    <row r="83" spans="1:11" x14ac:dyDescent="0.25">
      <c r="A83" s="55">
        <v>7840</v>
      </c>
      <c r="B83" s="55" t="s">
        <v>132</v>
      </c>
      <c r="C83" s="17"/>
      <c r="D83" s="17"/>
      <c r="E83" s="18">
        <v>10000</v>
      </c>
      <c r="F83" s="17">
        <v>3000</v>
      </c>
      <c r="G83" s="17"/>
      <c r="H83" s="17"/>
      <c r="I83" s="17"/>
      <c r="J83" s="17"/>
      <c r="K83" s="12">
        <f t="shared" si="2"/>
        <v>13000</v>
      </c>
    </row>
    <row r="84" spans="1:11" x14ac:dyDescent="0.25">
      <c r="A84" s="55">
        <v>7790</v>
      </c>
      <c r="B84" s="55" t="s">
        <v>90</v>
      </c>
      <c r="C84" s="17"/>
      <c r="D84" s="17"/>
      <c r="E84" s="18">
        <v>2500</v>
      </c>
      <c r="F84" s="17"/>
      <c r="G84" s="17"/>
      <c r="H84" s="17"/>
      <c r="I84" s="17"/>
      <c r="J84" s="17"/>
      <c r="K84" s="12">
        <f t="shared" si="2"/>
        <v>2500</v>
      </c>
    </row>
    <row r="85" spans="1:11" s="13" customFormat="1" ht="12.75" x14ac:dyDescent="0.2">
      <c r="A85" s="56" t="s">
        <v>133</v>
      </c>
      <c r="B85" s="56"/>
      <c r="C85" s="11">
        <f>SUM(C69:C84)</f>
        <v>665000</v>
      </c>
      <c r="D85" s="11">
        <f t="shared" ref="D85:K85" si="4">SUM(D69:D84)</f>
        <v>52000</v>
      </c>
      <c r="E85" s="11">
        <f t="shared" si="4"/>
        <v>1102700</v>
      </c>
      <c r="F85" s="11">
        <f t="shared" si="4"/>
        <v>525500</v>
      </c>
      <c r="G85" s="11">
        <f t="shared" si="4"/>
        <v>175000</v>
      </c>
      <c r="H85" s="11">
        <f t="shared" si="4"/>
        <v>17450</v>
      </c>
      <c r="I85" s="11">
        <f t="shared" si="4"/>
        <v>216300</v>
      </c>
      <c r="J85" s="11">
        <f t="shared" si="4"/>
        <v>201600</v>
      </c>
      <c r="K85" s="11">
        <f t="shared" si="4"/>
        <v>2287050</v>
      </c>
    </row>
    <row r="86" spans="1:11" s="13" customFormat="1" ht="12.75" x14ac:dyDescent="0.2">
      <c r="A86" s="56"/>
      <c r="B86" s="56"/>
      <c r="C86" s="11"/>
      <c r="D86" s="11"/>
      <c r="E86" s="11"/>
      <c r="F86" s="11"/>
      <c r="G86" s="11"/>
      <c r="H86" s="11"/>
      <c r="I86" s="11"/>
      <c r="J86" s="11"/>
      <c r="K86" s="12"/>
    </row>
    <row r="87" spans="1:11" s="13" customFormat="1" ht="12.75" x14ac:dyDescent="0.2">
      <c r="A87" s="56" t="s">
        <v>134</v>
      </c>
      <c r="B87" s="56"/>
      <c r="C87" s="11">
        <f t="shared" ref="C87:K87" si="5">C28-C85</f>
        <v>1000</v>
      </c>
      <c r="D87" s="11">
        <f t="shared" si="5"/>
        <v>2700</v>
      </c>
      <c r="E87" s="11">
        <f t="shared" si="5"/>
        <v>-82700</v>
      </c>
      <c r="F87" s="11">
        <f t="shared" si="5"/>
        <v>-20500</v>
      </c>
      <c r="G87" s="11">
        <f t="shared" si="5"/>
        <v>-9000</v>
      </c>
      <c r="H87" s="11">
        <f t="shared" si="5"/>
        <v>2650</v>
      </c>
      <c r="I87" s="11">
        <f t="shared" si="5"/>
        <v>3200</v>
      </c>
      <c r="J87" s="11">
        <f t="shared" si="5"/>
        <v>3400</v>
      </c>
      <c r="K87" s="11">
        <f t="shared" si="5"/>
        <v>-99250</v>
      </c>
    </row>
    <row r="88" spans="1:11" s="13" customFormat="1" ht="12.75" x14ac:dyDescent="0.2">
      <c r="A88" s="56"/>
      <c r="B88" s="56"/>
      <c r="C88" s="11"/>
      <c r="D88" s="11"/>
      <c r="E88" s="11"/>
      <c r="F88" s="11"/>
      <c r="G88" s="11"/>
      <c r="H88" s="11"/>
      <c r="I88" s="11"/>
      <c r="J88" s="11"/>
      <c r="K88" s="12"/>
    </row>
    <row r="89" spans="1:11" s="62" customFormat="1" x14ac:dyDescent="0.25">
      <c r="A89" s="38"/>
      <c r="B89" s="38"/>
      <c r="C89" s="69"/>
      <c r="D89" s="69"/>
      <c r="E89" s="70"/>
      <c r="F89" s="69"/>
      <c r="G89" s="69"/>
      <c r="H89" s="69"/>
      <c r="I89" s="69"/>
      <c r="J89" s="69"/>
      <c r="K89" s="14"/>
    </row>
    <row r="90" spans="1:11" s="62" customFormat="1" x14ac:dyDescent="0.25">
      <c r="A90" s="38"/>
      <c r="B90" s="38"/>
      <c r="C90" s="69"/>
      <c r="D90" s="69"/>
      <c r="E90" s="70"/>
      <c r="F90" s="69"/>
      <c r="G90" s="69"/>
      <c r="H90" s="69"/>
      <c r="I90" s="69"/>
      <c r="J90" s="69"/>
      <c r="K90" s="14"/>
    </row>
    <row r="91" spans="1:11" s="62" customFormat="1" x14ac:dyDescent="0.25">
      <c r="A91" s="38"/>
      <c r="B91" s="38"/>
      <c r="C91" s="69"/>
      <c r="D91" s="69"/>
      <c r="E91" s="70"/>
      <c r="F91" s="69"/>
      <c r="G91" s="69"/>
      <c r="H91" s="69"/>
      <c r="I91" s="69"/>
      <c r="J91" s="69"/>
      <c r="K91" s="14"/>
    </row>
    <row r="92" spans="1:11" s="62" customFormat="1" x14ac:dyDescent="0.25">
      <c r="A92" s="38"/>
      <c r="B92" s="38"/>
      <c r="C92" s="69"/>
      <c r="D92" s="69"/>
      <c r="E92" s="70"/>
      <c r="F92" s="69"/>
      <c r="G92" s="69"/>
      <c r="H92" s="69"/>
      <c r="I92" s="69"/>
      <c r="J92" s="69"/>
      <c r="K92" s="14"/>
    </row>
    <row r="93" spans="1:11" s="62" customFormat="1" x14ac:dyDescent="0.25">
      <c r="A93" s="38"/>
      <c r="B93" s="38"/>
      <c r="C93" s="69"/>
      <c r="D93" s="69"/>
      <c r="E93" s="70"/>
      <c r="F93" s="69"/>
      <c r="G93" s="69"/>
      <c r="H93" s="69"/>
      <c r="I93" s="69"/>
      <c r="J93" s="69"/>
      <c r="K93" s="14"/>
    </row>
  </sheetData>
  <pageMargins left="0.7" right="0.7" top="0.75" bottom="0.75" header="0.3" footer="0.3"/>
  <pageSetup paperSize="9" orientation="landscape" horizontalDpi="4294967293" verticalDpi="0" r:id="rId1"/>
  <headerFooter>
    <oddHeader xml:space="preserve">&amp;C&amp;"-,Fet"&amp;14BUDSJETTREGNSKAP ROMSÅS IL 2015
</oddHeader>
    <oddFooter xml:space="preserve">&amp;LEtter eleminering 
s.smeby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opLeftCell="A103" zoomScaleNormal="100" workbookViewId="0">
      <selection activeCell="M113" sqref="M113"/>
    </sheetView>
  </sheetViews>
  <sheetFormatPr baseColWidth="10" defaultRowHeight="15" x14ac:dyDescent="0.25"/>
  <cols>
    <col min="1" max="1" width="6.7109375" style="38" customWidth="1"/>
    <col min="2" max="2" width="30.140625" style="38" customWidth="1"/>
    <col min="3" max="3" width="11.140625" style="69" customWidth="1"/>
    <col min="4" max="4" width="8.5703125" style="69" customWidth="1"/>
    <col min="5" max="5" width="10.5703125" style="69" customWidth="1"/>
    <col min="6" max="6" width="9.85546875" style="69" customWidth="1"/>
    <col min="7" max="7" width="11.28515625" style="77" customWidth="1"/>
    <col min="8" max="8" width="10.5703125" style="77" customWidth="1"/>
    <col min="9" max="9" width="9.28515625" style="77" customWidth="1"/>
    <col min="10" max="10" width="9.85546875" style="77" customWidth="1"/>
    <col min="11" max="11" width="10.28515625" style="14" customWidth="1"/>
    <col min="12" max="12" width="2.42578125" customWidth="1"/>
  </cols>
  <sheetData>
    <row r="1" spans="1:12" s="4" customFormat="1" ht="18" x14ac:dyDescent="0.25">
      <c r="A1" s="1"/>
      <c r="B1" s="2"/>
      <c r="C1" s="3"/>
      <c r="D1" s="3"/>
      <c r="E1" s="3"/>
      <c r="F1" s="3"/>
      <c r="H1" s="5"/>
      <c r="I1" s="6"/>
      <c r="J1" s="7"/>
      <c r="K1" s="8"/>
    </row>
    <row r="2" spans="1:12" s="13" customFormat="1" ht="12.75" x14ac:dyDescent="0.2">
      <c r="A2" s="9" t="s">
        <v>0</v>
      </c>
      <c r="B2" s="10"/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2" t="s">
        <v>9</v>
      </c>
    </row>
    <row r="3" spans="1:12" x14ac:dyDescent="0.25">
      <c r="A3" s="15">
        <v>3110</v>
      </c>
      <c r="B3" s="15" t="s">
        <v>10</v>
      </c>
      <c r="C3" s="16"/>
      <c r="D3" s="17"/>
      <c r="E3" s="16"/>
      <c r="F3" s="17">
        <v>11807</v>
      </c>
      <c r="G3" s="18">
        <v>100</v>
      </c>
      <c r="H3" s="18"/>
      <c r="I3" s="18">
        <v>19872</v>
      </c>
      <c r="J3" s="18"/>
      <c r="K3" s="12">
        <f t="shared" ref="K3:K9" si="0">SUM(C3:J3)</f>
        <v>31779</v>
      </c>
    </row>
    <row r="4" spans="1:12" x14ac:dyDescent="0.25">
      <c r="A4" s="15">
        <v>3120</v>
      </c>
      <c r="B4" s="15" t="s">
        <v>11</v>
      </c>
      <c r="C4" s="16"/>
      <c r="D4" s="17"/>
      <c r="E4" s="16">
        <v>5000</v>
      </c>
      <c r="F4" s="17">
        <v>45035</v>
      </c>
      <c r="G4" s="18"/>
      <c r="H4" s="18"/>
      <c r="I4" s="18"/>
      <c r="J4" s="18"/>
      <c r="K4" s="12">
        <f t="shared" si="0"/>
        <v>50035</v>
      </c>
    </row>
    <row r="5" spans="1:12" x14ac:dyDescent="0.25">
      <c r="A5" s="15">
        <v>3121</v>
      </c>
      <c r="B5" s="15" t="s">
        <v>12</v>
      </c>
      <c r="C5" s="16"/>
      <c r="D5" s="17"/>
      <c r="E5" s="16"/>
      <c r="F5" s="17">
        <v>5582</v>
      </c>
      <c r="G5" s="18"/>
      <c r="H5" s="18"/>
      <c r="I5" s="18"/>
      <c r="J5" s="18"/>
      <c r="K5" s="12">
        <f t="shared" si="0"/>
        <v>5582</v>
      </c>
    </row>
    <row r="6" spans="1:12" x14ac:dyDescent="0.25">
      <c r="A6" s="15">
        <v>3200</v>
      </c>
      <c r="B6" s="15" t="s">
        <v>13</v>
      </c>
      <c r="C6" s="16"/>
      <c r="D6" s="17"/>
      <c r="E6" s="16">
        <f>3800</f>
        <v>3800</v>
      </c>
      <c r="F6" s="17">
        <v>106107</v>
      </c>
      <c r="G6" s="18">
        <v>25061</v>
      </c>
      <c r="H6" s="18"/>
      <c r="I6" s="18">
        <v>3921</v>
      </c>
      <c r="J6" s="18"/>
      <c r="K6" s="12">
        <f t="shared" si="0"/>
        <v>138889</v>
      </c>
    </row>
    <row r="7" spans="1:12" x14ac:dyDescent="0.25">
      <c r="A7" s="15">
        <v>3215</v>
      </c>
      <c r="B7" s="15" t="s">
        <v>15</v>
      </c>
      <c r="C7" s="16"/>
      <c r="D7" s="17"/>
      <c r="E7" s="16"/>
      <c r="F7" s="20"/>
      <c r="G7" s="18">
        <v>6000</v>
      </c>
      <c r="H7" s="18"/>
      <c r="I7" s="18"/>
      <c r="J7" s="18"/>
      <c r="K7" s="12">
        <f t="shared" si="0"/>
        <v>6000</v>
      </c>
    </row>
    <row r="8" spans="1:12" x14ac:dyDescent="0.25">
      <c r="A8" s="15">
        <v>3301</v>
      </c>
      <c r="B8" s="15" t="s">
        <v>17</v>
      </c>
      <c r="C8" s="21"/>
      <c r="D8" s="17"/>
      <c r="E8" s="16">
        <v>385775</v>
      </c>
      <c r="F8" s="17"/>
      <c r="G8" s="18"/>
      <c r="H8" s="18"/>
      <c r="I8" s="18"/>
      <c r="J8" s="18"/>
      <c r="K8" s="12">
        <f t="shared" si="0"/>
        <v>385775</v>
      </c>
    </row>
    <row r="9" spans="1:12" x14ac:dyDescent="0.25">
      <c r="A9" s="15">
        <v>3400</v>
      </c>
      <c r="B9" s="15" t="s">
        <v>19</v>
      </c>
      <c r="C9" s="16">
        <v>87561</v>
      </c>
      <c r="D9" s="22"/>
      <c r="E9" s="21"/>
      <c r="F9" s="22"/>
      <c r="G9" s="18"/>
      <c r="H9" s="18"/>
      <c r="I9" s="18"/>
      <c r="J9" s="18">
        <v>120000</v>
      </c>
      <c r="K9" s="12">
        <f t="shared" si="0"/>
        <v>207561</v>
      </c>
      <c r="L9" s="23"/>
    </row>
    <row r="10" spans="1:12" x14ac:dyDescent="0.25">
      <c r="A10" s="15">
        <v>3401</v>
      </c>
      <c r="B10" s="15" t="s">
        <v>20</v>
      </c>
      <c r="C10" s="16"/>
      <c r="D10" s="17"/>
      <c r="E10" s="16">
        <v>31917</v>
      </c>
      <c r="F10" s="16">
        <v>28810</v>
      </c>
      <c r="G10" s="18">
        <v>7061</v>
      </c>
      <c r="H10" s="18"/>
      <c r="I10" s="18">
        <v>19772</v>
      </c>
      <c r="J10" s="18"/>
      <c r="K10" s="12">
        <v>0</v>
      </c>
      <c r="L10" t="s">
        <v>21</v>
      </c>
    </row>
    <row r="11" spans="1:12" x14ac:dyDescent="0.25">
      <c r="A11" s="15">
        <v>3440</v>
      </c>
      <c r="B11" s="15" t="s">
        <v>23</v>
      </c>
      <c r="C11" s="16">
        <v>90750</v>
      </c>
      <c r="D11" s="17"/>
      <c r="E11" s="26"/>
      <c r="F11" s="26"/>
      <c r="G11" s="18"/>
      <c r="H11" s="18"/>
      <c r="I11" s="18"/>
      <c r="J11" s="18"/>
      <c r="K11" s="12">
        <f>SUM(C11:J11)</f>
        <v>90750</v>
      </c>
      <c r="L11" s="23"/>
    </row>
    <row r="12" spans="1:12" x14ac:dyDescent="0.25">
      <c r="A12" s="15">
        <v>3441</v>
      </c>
      <c r="B12" s="15" t="s">
        <v>25</v>
      </c>
      <c r="C12" s="16"/>
      <c r="D12" s="16">
        <v>2507</v>
      </c>
      <c r="E12" s="26">
        <v>18315</v>
      </c>
      <c r="F12" s="26">
        <v>14345</v>
      </c>
      <c r="G12" s="18">
        <v>6128</v>
      </c>
      <c r="H12" s="18"/>
      <c r="I12" s="18">
        <v>11212</v>
      </c>
      <c r="J12" s="18"/>
      <c r="K12" s="12">
        <v>0</v>
      </c>
      <c r="L12" t="s">
        <v>21</v>
      </c>
    </row>
    <row r="13" spans="1:12" x14ac:dyDescent="0.25">
      <c r="A13" s="30">
        <v>3442</v>
      </c>
      <c r="B13" s="30" t="s">
        <v>26</v>
      </c>
      <c r="C13" s="16"/>
      <c r="D13" s="16"/>
      <c r="E13" s="26">
        <v>18000</v>
      </c>
      <c r="F13" s="26"/>
      <c r="G13" s="18"/>
      <c r="H13" s="18"/>
      <c r="I13" s="18"/>
      <c r="J13" s="18"/>
      <c r="K13" s="12">
        <f>SUM(C13:J13)</f>
        <v>18000</v>
      </c>
    </row>
    <row r="14" spans="1:12" x14ac:dyDescent="0.25">
      <c r="A14" s="31">
        <v>3447</v>
      </c>
      <c r="B14" s="32" t="s">
        <v>27</v>
      </c>
      <c r="C14" s="16">
        <v>100205</v>
      </c>
      <c r="D14" s="17"/>
      <c r="E14" s="26"/>
      <c r="F14" s="26"/>
      <c r="G14" s="18"/>
      <c r="H14" s="18"/>
      <c r="I14" s="18"/>
      <c r="J14" s="18"/>
      <c r="K14" s="12">
        <f>SUM(C14:J14)</f>
        <v>100205</v>
      </c>
      <c r="L14" s="23"/>
    </row>
    <row r="15" spans="1:12" x14ac:dyDescent="0.25">
      <c r="A15" s="31">
        <v>3448</v>
      </c>
      <c r="B15" s="32" t="s">
        <v>29</v>
      </c>
      <c r="C15" s="16"/>
      <c r="D15" s="17">
        <v>2203</v>
      </c>
      <c r="E15" s="26">
        <v>37482</v>
      </c>
      <c r="F15" s="26">
        <v>21188</v>
      </c>
      <c r="G15" s="18">
        <v>12086</v>
      </c>
      <c r="H15" s="18">
        <v>1908</v>
      </c>
      <c r="I15" s="18">
        <v>8562</v>
      </c>
      <c r="J15" s="18">
        <v>8437</v>
      </c>
      <c r="K15" s="12">
        <v>0</v>
      </c>
      <c r="L15" t="s">
        <v>21</v>
      </c>
    </row>
    <row r="16" spans="1:12" x14ac:dyDescent="0.25">
      <c r="A16" s="15">
        <v>3450</v>
      </c>
      <c r="B16" s="15" t="s">
        <v>31</v>
      </c>
      <c r="C16" s="16">
        <v>247137</v>
      </c>
      <c r="D16" s="16"/>
      <c r="E16" s="26"/>
      <c r="F16" s="26"/>
      <c r="G16" s="18"/>
      <c r="H16" s="18"/>
      <c r="I16" s="18"/>
      <c r="J16" s="18"/>
      <c r="K16" s="12">
        <f>SUM(C16:J16)</f>
        <v>247137</v>
      </c>
      <c r="L16" s="23"/>
    </row>
    <row r="17" spans="1:12" x14ac:dyDescent="0.25">
      <c r="A17" s="15">
        <v>3451</v>
      </c>
      <c r="B17" s="15" t="s">
        <v>33</v>
      </c>
      <c r="C17" s="16"/>
      <c r="D17" s="17">
        <v>19688</v>
      </c>
      <c r="E17" s="26">
        <v>76680</v>
      </c>
      <c r="F17" s="26">
        <v>65800</v>
      </c>
      <c r="G17" s="18">
        <v>30050</v>
      </c>
      <c r="H17" s="18">
        <v>11916</v>
      </c>
      <c r="I17" s="18">
        <v>43003</v>
      </c>
      <c r="J17" s="18"/>
      <c r="K17" s="12">
        <v>0</v>
      </c>
      <c r="L17" t="s">
        <v>21</v>
      </c>
    </row>
    <row r="18" spans="1:12" x14ac:dyDescent="0.25">
      <c r="A18" s="15">
        <v>3460</v>
      </c>
      <c r="B18" s="15" t="s">
        <v>34</v>
      </c>
      <c r="C18" s="16">
        <v>69936</v>
      </c>
      <c r="D18" s="17"/>
      <c r="E18" s="26"/>
      <c r="F18" s="26"/>
      <c r="G18" s="18"/>
      <c r="H18" s="18"/>
      <c r="I18" s="18"/>
      <c r="J18" s="18"/>
      <c r="K18" s="12">
        <f>SUM(C18:J18)</f>
        <v>69936</v>
      </c>
    </row>
    <row r="19" spans="1:12" x14ac:dyDescent="0.25">
      <c r="A19" s="15">
        <v>3461</v>
      </c>
      <c r="B19" s="15" t="s">
        <v>35</v>
      </c>
      <c r="C19" s="16"/>
      <c r="D19" s="17"/>
      <c r="E19" s="26">
        <v>23128</v>
      </c>
      <c r="F19" s="26">
        <v>20100</v>
      </c>
      <c r="G19" s="18">
        <v>5231</v>
      </c>
      <c r="H19" s="18"/>
      <c r="I19" s="18">
        <f>21476+800</f>
        <v>22276</v>
      </c>
      <c r="J19" s="18"/>
      <c r="K19" s="12">
        <f>SUM(C19:J19)-69936</f>
        <v>799</v>
      </c>
      <c r="L19" t="s">
        <v>21</v>
      </c>
    </row>
    <row r="20" spans="1:12" x14ac:dyDescent="0.25">
      <c r="A20" s="15">
        <v>3600</v>
      </c>
      <c r="B20" s="15" t="s">
        <v>18</v>
      </c>
      <c r="C20" s="16">
        <v>1500</v>
      </c>
      <c r="D20" s="17"/>
      <c r="E20" s="26"/>
      <c r="F20" s="26"/>
      <c r="G20" s="18"/>
      <c r="H20" s="18"/>
      <c r="I20" s="18"/>
      <c r="J20" s="18">
        <v>75350</v>
      </c>
      <c r="K20" s="12">
        <f>SUM(C20:J20)</f>
        <v>76850</v>
      </c>
    </row>
    <row r="21" spans="1:12" x14ac:dyDescent="0.25">
      <c r="A21" s="15">
        <v>3630</v>
      </c>
      <c r="B21" s="33" t="s">
        <v>36</v>
      </c>
      <c r="C21" s="16"/>
      <c r="D21" s="17"/>
      <c r="E21" s="26">
        <v>36230</v>
      </c>
      <c r="F21" s="26">
        <v>10000</v>
      </c>
      <c r="G21" s="18"/>
      <c r="H21" s="18"/>
      <c r="I21" s="18"/>
      <c r="J21" s="18"/>
      <c r="K21" s="12">
        <f>SUM(C21:J21)</f>
        <v>46230</v>
      </c>
    </row>
    <row r="22" spans="1:12" x14ac:dyDescent="0.25">
      <c r="A22" s="15">
        <v>3660</v>
      </c>
      <c r="B22" s="15" t="s">
        <v>37</v>
      </c>
      <c r="C22" s="16"/>
      <c r="D22" s="17"/>
      <c r="E22" s="17"/>
      <c r="F22" s="17">
        <v>82950</v>
      </c>
      <c r="G22" s="18">
        <v>67900</v>
      </c>
      <c r="H22" s="18"/>
      <c r="I22" s="18">
        <v>16000</v>
      </c>
      <c r="J22" s="18"/>
      <c r="K22" s="12">
        <v>0</v>
      </c>
      <c r="L22" t="s">
        <v>21</v>
      </c>
    </row>
    <row r="23" spans="1:12" x14ac:dyDescent="0.25">
      <c r="A23" s="15">
        <v>3921</v>
      </c>
      <c r="B23" s="15" t="s">
        <v>38</v>
      </c>
      <c r="C23" s="16">
        <v>95136</v>
      </c>
      <c r="D23" s="17"/>
      <c r="E23" s="17"/>
      <c r="F23" s="17"/>
      <c r="G23" s="18"/>
      <c r="H23" s="18"/>
      <c r="I23" s="18"/>
      <c r="J23" s="18"/>
      <c r="K23" s="12">
        <f>SUM(C23:J23)</f>
        <v>95136</v>
      </c>
    </row>
    <row r="24" spans="1:12" x14ac:dyDescent="0.25">
      <c r="A24" s="15">
        <v>3922</v>
      </c>
      <c r="B24" s="15" t="s">
        <v>39</v>
      </c>
      <c r="C24" s="16"/>
      <c r="D24" s="17">
        <v>38200</v>
      </c>
      <c r="E24" s="17">
        <v>261500</v>
      </c>
      <c r="F24" s="17">
        <f>54750-700</f>
        <v>54050</v>
      </c>
      <c r="G24" s="18">
        <v>25400</v>
      </c>
      <c r="H24" s="18">
        <v>2300</v>
      </c>
      <c r="I24" s="18">
        <v>81050</v>
      </c>
      <c r="J24" s="18"/>
      <c r="K24" s="12">
        <f>SUM(C24:J24)</f>
        <v>462500</v>
      </c>
    </row>
    <row r="25" spans="1:12" x14ac:dyDescent="0.25">
      <c r="A25" s="15">
        <v>3970</v>
      </c>
      <c r="B25" s="15" t="s">
        <v>40</v>
      </c>
      <c r="C25" s="16"/>
      <c r="D25" s="17"/>
      <c r="E25" s="17">
        <v>32000</v>
      </c>
      <c r="F25" s="17">
        <v>36900</v>
      </c>
      <c r="G25" s="18"/>
      <c r="H25" s="18"/>
      <c r="I25" s="18">
        <v>11400</v>
      </c>
      <c r="J25" s="18"/>
      <c r="K25" s="12">
        <f>SUM(C25:J25)</f>
        <v>80300</v>
      </c>
    </row>
    <row r="26" spans="1:12" x14ac:dyDescent="0.25">
      <c r="A26" s="15">
        <v>3990</v>
      </c>
      <c r="B26" s="15" t="s">
        <v>41</v>
      </c>
      <c r="C26" s="16">
        <v>96224</v>
      </c>
      <c r="D26" s="17"/>
      <c r="E26" s="17">
        <v>4633</v>
      </c>
      <c r="F26" s="17">
        <v>93540</v>
      </c>
      <c r="G26" s="18">
        <v>725</v>
      </c>
      <c r="H26" s="18">
        <v>19590</v>
      </c>
      <c r="I26" s="18">
        <v>4726</v>
      </c>
      <c r="J26" s="18"/>
      <c r="K26" s="12">
        <f>SUM(C26:J26)-90521</f>
        <v>128917</v>
      </c>
      <c r="L26" t="s">
        <v>21</v>
      </c>
    </row>
    <row r="27" spans="1:12" s="13" customFormat="1" ht="12.75" x14ac:dyDescent="0.2">
      <c r="A27" s="10" t="s">
        <v>42</v>
      </c>
      <c r="B27" s="34"/>
      <c r="C27" s="35">
        <f>SUM(C3:C26)</f>
        <v>788449</v>
      </c>
      <c r="D27" s="35">
        <f>SUM(D3:D26)</f>
        <v>62598</v>
      </c>
      <c r="E27" s="35">
        <f>SUM(E3:E26)</f>
        <v>934460</v>
      </c>
      <c r="F27" s="35">
        <f>SUM(F3:F26)-1</f>
        <v>596213</v>
      </c>
      <c r="G27" s="35">
        <f>SUM(G3:G26)</f>
        <v>185742</v>
      </c>
      <c r="H27" s="35">
        <f>SUM(H3:H26)</f>
        <v>35714</v>
      </c>
      <c r="I27" s="35">
        <f>SUM(I3:I26)</f>
        <v>241794</v>
      </c>
      <c r="J27" s="35">
        <f>SUM(J3:J26)</f>
        <v>203787</v>
      </c>
      <c r="K27" s="36">
        <f>SUM(K3:K26)</f>
        <v>2242381</v>
      </c>
    </row>
    <row r="28" spans="1:12" s="13" customFormat="1" ht="12.75" x14ac:dyDescent="0.2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14"/>
    </row>
    <row r="29" spans="1:12" s="13" customFormat="1" ht="12.75" x14ac:dyDescent="0.2">
      <c r="A29" s="38"/>
      <c r="B29" s="39"/>
      <c r="C29" s="40"/>
      <c r="D29" s="40"/>
      <c r="E29" s="40"/>
      <c r="F29" s="40"/>
      <c r="G29" s="40"/>
      <c r="H29" s="40"/>
      <c r="I29" s="40"/>
      <c r="J29" s="40"/>
      <c r="K29" s="14"/>
    </row>
    <row r="30" spans="1:12" s="13" customFormat="1" ht="12.75" x14ac:dyDescent="0.2">
      <c r="A30" s="38"/>
      <c r="B30" s="39"/>
      <c r="C30" s="40"/>
      <c r="D30" s="40"/>
      <c r="E30" s="40"/>
      <c r="F30" s="40"/>
      <c r="G30" s="40"/>
      <c r="H30" s="40"/>
      <c r="I30" s="40"/>
      <c r="J30" s="40"/>
      <c r="K30" s="14"/>
    </row>
    <row r="31" spans="1:12" s="13" customFormat="1" ht="12.75" x14ac:dyDescent="0.2">
      <c r="A31" s="38"/>
      <c r="B31" s="39"/>
      <c r="C31" s="40"/>
      <c r="D31" s="40"/>
      <c r="E31" s="40"/>
      <c r="F31" s="40"/>
      <c r="G31" s="40"/>
      <c r="H31" s="40"/>
      <c r="I31" s="40"/>
      <c r="J31" s="40"/>
      <c r="K31" s="14"/>
    </row>
    <row r="32" spans="1:12" s="13" customFormat="1" ht="12.75" x14ac:dyDescent="0.2">
      <c r="A32" s="38"/>
      <c r="B32" s="39"/>
      <c r="C32" s="40"/>
      <c r="D32" s="40"/>
      <c r="E32" s="40"/>
      <c r="F32" s="40"/>
      <c r="G32" s="40"/>
      <c r="H32" s="40"/>
      <c r="I32" s="40"/>
      <c r="J32" s="40"/>
      <c r="K32" s="14"/>
    </row>
    <row r="33" spans="1:11" s="13" customFormat="1" ht="12.75" x14ac:dyDescent="0.2">
      <c r="A33" s="38"/>
      <c r="B33" s="39"/>
      <c r="C33" s="40"/>
      <c r="D33" s="40"/>
      <c r="E33" s="40"/>
      <c r="F33" s="40"/>
      <c r="G33" s="40"/>
      <c r="H33" s="40"/>
      <c r="I33" s="40"/>
      <c r="J33" s="40"/>
      <c r="K33" s="14"/>
    </row>
    <row r="34" spans="1:11" s="13" customFormat="1" ht="12.75" x14ac:dyDescent="0.2">
      <c r="A34" s="38"/>
      <c r="B34" s="39"/>
      <c r="C34" s="41"/>
      <c r="D34" s="41"/>
      <c r="E34" s="41"/>
      <c r="F34" s="41"/>
      <c r="G34" s="40"/>
      <c r="H34" s="40"/>
      <c r="I34" s="40"/>
      <c r="J34" s="40"/>
      <c r="K34" s="14"/>
    </row>
    <row r="35" spans="1:11" x14ac:dyDescent="0.25">
      <c r="A35" s="42" t="s">
        <v>28</v>
      </c>
      <c r="B35" s="43"/>
      <c r="C35" s="11" t="s">
        <v>1</v>
      </c>
      <c r="D35" s="11" t="s">
        <v>2</v>
      </c>
      <c r="E35" s="11" t="s">
        <v>3</v>
      </c>
      <c r="F35" s="11" t="s">
        <v>4</v>
      </c>
      <c r="G35" s="11" t="s">
        <v>5</v>
      </c>
      <c r="H35" s="11" t="s">
        <v>6</v>
      </c>
      <c r="I35" s="11" t="s">
        <v>7</v>
      </c>
      <c r="J35" s="11" t="s">
        <v>8</v>
      </c>
      <c r="K35" s="12" t="s">
        <v>9</v>
      </c>
    </row>
    <row r="36" spans="1:11" x14ac:dyDescent="0.25">
      <c r="A36" s="15">
        <v>4300</v>
      </c>
      <c r="B36" s="44" t="s">
        <v>43</v>
      </c>
      <c r="C36" s="17"/>
      <c r="D36" s="17"/>
      <c r="E36" s="17">
        <f>536+308952+5446</f>
        <v>314934</v>
      </c>
      <c r="F36" s="17">
        <v>42388</v>
      </c>
      <c r="G36" s="45">
        <v>16396</v>
      </c>
      <c r="H36" s="18"/>
      <c r="I36" s="18">
        <v>3146</v>
      </c>
      <c r="J36" s="18"/>
      <c r="K36" s="12">
        <f t="shared" ref="K36:K57" si="1">SUM(C36:J36)</f>
        <v>376864</v>
      </c>
    </row>
    <row r="37" spans="1:11" x14ac:dyDescent="0.25">
      <c r="A37" s="15">
        <v>4350</v>
      </c>
      <c r="B37" s="15" t="s">
        <v>44</v>
      </c>
      <c r="C37" s="17"/>
      <c r="D37" s="17"/>
      <c r="E37" s="17">
        <v>41577</v>
      </c>
      <c r="F37" s="17">
        <v>43203</v>
      </c>
      <c r="G37" s="26">
        <v>24423</v>
      </c>
      <c r="H37" s="18"/>
      <c r="I37" s="18"/>
      <c r="J37" s="18"/>
      <c r="K37" s="12">
        <f t="shared" si="1"/>
        <v>109203</v>
      </c>
    </row>
    <row r="38" spans="1:11" x14ac:dyDescent="0.25">
      <c r="A38" s="15">
        <v>4360</v>
      </c>
      <c r="B38" s="15" t="s">
        <v>45</v>
      </c>
      <c r="C38" s="17"/>
      <c r="D38" s="17"/>
      <c r="E38" s="17"/>
      <c r="F38" s="17"/>
      <c r="G38" s="26"/>
      <c r="H38" s="18"/>
      <c r="I38" s="18">
        <v>6215</v>
      </c>
      <c r="J38" s="18"/>
      <c r="K38" s="12">
        <f t="shared" si="1"/>
        <v>6215</v>
      </c>
    </row>
    <row r="39" spans="1:11" x14ac:dyDescent="0.25">
      <c r="A39" s="15">
        <v>4370</v>
      </c>
      <c r="B39" s="15" t="s">
        <v>46</v>
      </c>
      <c r="C39" s="16"/>
      <c r="D39" s="17"/>
      <c r="E39" s="17"/>
      <c r="F39" s="18"/>
      <c r="G39" s="26">
        <v>500</v>
      </c>
      <c r="H39" s="16"/>
      <c r="I39" s="16"/>
      <c r="J39" s="18"/>
      <c r="K39" s="46">
        <f t="shared" si="1"/>
        <v>500</v>
      </c>
    </row>
    <row r="40" spans="1:11" x14ac:dyDescent="0.25">
      <c r="A40" s="15">
        <v>6301</v>
      </c>
      <c r="B40" s="15" t="s">
        <v>47</v>
      </c>
      <c r="C40" s="16">
        <v>100032</v>
      </c>
      <c r="D40" s="17"/>
      <c r="E40" s="47"/>
      <c r="F40" s="17"/>
      <c r="G40" s="18"/>
      <c r="H40" s="18"/>
      <c r="I40" s="18"/>
      <c r="J40" s="18"/>
      <c r="K40" s="12">
        <f t="shared" si="1"/>
        <v>100032</v>
      </c>
    </row>
    <row r="41" spans="1:11" x14ac:dyDescent="0.25">
      <c r="A41" s="15">
        <v>6310</v>
      </c>
      <c r="B41" s="15" t="s">
        <v>48</v>
      </c>
      <c r="C41" s="17"/>
      <c r="D41" s="17">
        <v>10858</v>
      </c>
      <c r="E41" s="26">
        <v>700</v>
      </c>
      <c r="F41" s="26">
        <v>5128</v>
      </c>
      <c r="G41" s="18"/>
      <c r="H41" s="18"/>
      <c r="I41" s="18">
        <v>960</v>
      </c>
      <c r="J41" s="18"/>
      <c r="K41" s="12">
        <f t="shared" si="1"/>
        <v>17646</v>
      </c>
    </row>
    <row r="42" spans="1:11" x14ac:dyDescent="0.25">
      <c r="A42" s="15">
        <v>6600</v>
      </c>
      <c r="B42" s="15" t="s">
        <v>49</v>
      </c>
      <c r="C42" s="17"/>
      <c r="D42" s="17"/>
      <c r="E42" s="26">
        <v>146675</v>
      </c>
      <c r="F42" s="26">
        <v>16216</v>
      </c>
      <c r="G42" s="18">
        <v>620</v>
      </c>
      <c r="H42" s="18"/>
      <c r="I42" s="18"/>
      <c r="J42" s="18">
        <v>13518</v>
      </c>
      <c r="K42" s="12">
        <f t="shared" si="1"/>
        <v>177029</v>
      </c>
    </row>
    <row r="43" spans="1:11" x14ac:dyDescent="0.25">
      <c r="A43" s="15">
        <v>6620</v>
      </c>
      <c r="B43" s="15" t="s">
        <v>50</v>
      </c>
      <c r="C43" s="17">
        <v>0</v>
      </c>
      <c r="D43" s="17"/>
      <c r="E43" s="26">
        <v>22341</v>
      </c>
      <c r="F43" s="26"/>
      <c r="G43" s="18"/>
      <c r="H43" s="18"/>
      <c r="I43" s="18"/>
      <c r="J43" s="18"/>
      <c r="K43" s="12">
        <f t="shared" si="1"/>
        <v>22341</v>
      </c>
    </row>
    <row r="44" spans="1:11" x14ac:dyDescent="0.25">
      <c r="A44" s="30">
        <v>6630</v>
      </c>
      <c r="B44" s="30" t="s">
        <v>51</v>
      </c>
      <c r="C44" s="17">
        <v>3231</v>
      </c>
      <c r="D44" s="16"/>
      <c r="E44" s="26">
        <v>6164</v>
      </c>
      <c r="F44" s="26">
        <v>2941</v>
      </c>
      <c r="G44" s="18">
        <v>309</v>
      </c>
      <c r="H44" s="18"/>
      <c r="I44" s="18"/>
      <c r="J44" s="18">
        <v>1872</v>
      </c>
      <c r="K44" s="12">
        <f t="shared" si="1"/>
        <v>14517</v>
      </c>
    </row>
    <row r="45" spans="1:11" x14ac:dyDescent="0.25">
      <c r="A45" s="15">
        <v>6640</v>
      </c>
      <c r="B45" s="15" t="s">
        <v>52</v>
      </c>
      <c r="C45" s="17"/>
      <c r="D45" s="17"/>
      <c r="E45" s="26">
        <v>3895</v>
      </c>
      <c r="F45" s="26"/>
      <c r="G45" s="18"/>
      <c r="H45" s="18"/>
      <c r="I45" s="18"/>
      <c r="J45" s="18"/>
      <c r="K45" s="12">
        <f t="shared" si="1"/>
        <v>3895</v>
      </c>
    </row>
    <row r="46" spans="1:11" x14ac:dyDescent="0.25">
      <c r="A46" s="15">
        <v>6700</v>
      </c>
      <c r="B46" s="15" t="s">
        <v>53</v>
      </c>
      <c r="C46" s="17">
        <v>10000</v>
      </c>
      <c r="D46" s="17"/>
      <c r="E46" s="26"/>
      <c r="F46" s="26"/>
      <c r="G46" s="18"/>
      <c r="H46" s="18"/>
      <c r="I46" s="18"/>
      <c r="J46" s="18"/>
      <c r="K46" s="12">
        <f t="shared" si="1"/>
        <v>10000</v>
      </c>
    </row>
    <row r="47" spans="1:11" x14ac:dyDescent="0.25">
      <c r="A47" s="15">
        <v>6721</v>
      </c>
      <c r="B47" s="15" t="s">
        <v>54</v>
      </c>
      <c r="C47" s="17"/>
      <c r="D47" s="17"/>
      <c r="E47" s="26"/>
      <c r="F47" s="26">
        <v>400</v>
      </c>
      <c r="G47" s="18"/>
      <c r="H47" s="18"/>
      <c r="I47" s="18"/>
      <c r="J47" s="18"/>
      <c r="K47" s="12">
        <f t="shared" si="1"/>
        <v>400</v>
      </c>
    </row>
    <row r="48" spans="1:11" x14ac:dyDescent="0.25">
      <c r="A48" s="15">
        <v>6800</v>
      </c>
      <c r="B48" s="15" t="s">
        <v>55</v>
      </c>
      <c r="C48" s="17">
        <v>2236</v>
      </c>
      <c r="D48" s="17"/>
      <c r="E48" s="26">
        <v>1392</v>
      </c>
      <c r="F48" s="26">
        <v>5699</v>
      </c>
      <c r="G48" s="18">
        <v>1013</v>
      </c>
      <c r="H48" s="18">
        <v>84</v>
      </c>
      <c r="I48" s="18">
        <v>125</v>
      </c>
      <c r="J48" s="18"/>
      <c r="K48" s="12">
        <f t="shared" si="1"/>
        <v>10549</v>
      </c>
    </row>
    <row r="49" spans="1:12" x14ac:dyDescent="0.25">
      <c r="A49" s="15">
        <v>6810</v>
      </c>
      <c r="B49" s="15" t="s">
        <v>56</v>
      </c>
      <c r="C49" s="17">
        <v>28564</v>
      </c>
      <c r="D49" s="17">
        <v>595</v>
      </c>
      <c r="E49" s="26">
        <f>24441-2</f>
        <v>24439</v>
      </c>
      <c r="F49" s="26">
        <f>32999-3</f>
        <v>32996</v>
      </c>
      <c r="G49" s="18">
        <v>3719</v>
      </c>
      <c r="H49" s="18">
        <v>33</v>
      </c>
      <c r="I49" s="18">
        <v>5640</v>
      </c>
      <c r="J49" s="18">
        <v>4888</v>
      </c>
      <c r="K49" s="12">
        <f t="shared" si="1"/>
        <v>100874</v>
      </c>
    </row>
    <row r="50" spans="1:12" x14ac:dyDescent="0.25">
      <c r="A50" s="15">
        <v>6811</v>
      </c>
      <c r="B50" s="15" t="s">
        <v>57</v>
      </c>
      <c r="C50" s="17">
        <v>6314</v>
      </c>
      <c r="D50" s="17"/>
      <c r="E50" s="26">
        <v>13183</v>
      </c>
      <c r="F50" s="26">
        <v>6304</v>
      </c>
      <c r="G50" s="18"/>
      <c r="H50" s="18"/>
      <c r="I50" s="18">
        <v>2542</v>
      </c>
      <c r="J50" s="18">
        <v>2542</v>
      </c>
      <c r="K50" s="12">
        <f t="shared" si="1"/>
        <v>30885</v>
      </c>
    </row>
    <row r="51" spans="1:12" x14ac:dyDescent="0.25">
      <c r="A51" s="15">
        <v>6860</v>
      </c>
      <c r="B51" s="15" t="s">
        <v>58</v>
      </c>
      <c r="C51" s="17"/>
      <c r="D51" s="17"/>
      <c r="E51" s="26"/>
      <c r="F51" s="26">
        <v>2500</v>
      </c>
      <c r="G51" s="18"/>
      <c r="H51" s="18"/>
      <c r="I51" s="18"/>
      <c r="J51" s="18"/>
      <c r="K51" s="12">
        <f t="shared" si="1"/>
        <v>2500</v>
      </c>
    </row>
    <row r="52" spans="1:12" x14ac:dyDescent="0.25">
      <c r="A52" s="31">
        <v>6900</v>
      </c>
      <c r="B52" s="31" t="s">
        <v>59</v>
      </c>
      <c r="C52" s="17"/>
      <c r="D52" s="17"/>
      <c r="E52" s="26">
        <v>138</v>
      </c>
      <c r="F52" s="26"/>
      <c r="G52" s="18">
        <v>335</v>
      </c>
      <c r="H52" s="18"/>
      <c r="I52" s="18">
        <v>625</v>
      </c>
      <c r="J52" s="18"/>
      <c r="K52" s="12">
        <f t="shared" si="1"/>
        <v>1098</v>
      </c>
    </row>
    <row r="53" spans="1:12" x14ac:dyDescent="0.25">
      <c r="A53" s="48">
        <v>6910</v>
      </c>
      <c r="B53" s="48" t="s">
        <v>60</v>
      </c>
      <c r="C53" s="17">
        <v>16980</v>
      </c>
      <c r="D53" s="17"/>
      <c r="E53" s="26"/>
      <c r="F53" s="26"/>
      <c r="G53" s="18"/>
      <c r="H53" s="18"/>
      <c r="I53" s="18"/>
      <c r="J53" s="18"/>
      <c r="K53" s="12">
        <f t="shared" si="1"/>
        <v>16980</v>
      </c>
    </row>
    <row r="54" spans="1:12" x14ac:dyDescent="0.25">
      <c r="A54" s="48">
        <v>7310</v>
      </c>
      <c r="B54" s="48" t="s">
        <v>61</v>
      </c>
      <c r="C54" s="17"/>
      <c r="D54" s="17"/>
      <c r="E54" s="26"/>
      <c r="F54" s="26"/>
      <c r="G54" s="18"/>
      <c r="H54" s="18"/>
      <c r="I54" s="18">
        <v>149</v>
      </c>
      <c r="J54" s="18"/>
      <c r="K54" s="12">
        <f t="shared" si="1"/>
        <v>149</v>
      </c>
    </row>
    <row r="55" spans="1:12" x14ac:dyDescent="0.25">
      <c r="A55" s="15">
        <v>7320</v>
      </c>
      <c r="B55" s="15" t="s">
        <v>62</v>
      </c>
      <c r="C55" s="16">
        <v>450</v>
      </c>
      <c r="D55" s="16"/>
      <c r="E55" s="26"/>
      <c r="F55" s="26">
        <v>7750</v>
      </c>
      <c r="G55" s="18"/>
      <c r="H55" s="18"/>
      <c r="I55" s="18"/>
      <c r="J55" s="18"/>
      <c r="K55" s="12">
        <f t="shared" si="1"/>
        <v>8200</v>
      </c>
    </row>
    <row r="56" spans="1:12" x14ac:dyDescent="0.25">
      <c r="A56" s="15">
        <v>7370</v>
      </c>
      <c r="B56" s="15" t="s">
        <v>63</v>
      </c>
      <c r="C56" s="16"/>
      <c r="D56" s="16">
        <v>29000</v>
      </c>
      <c r="E56" s="26">
        <v>12088</v>
      </c>
      <c r="F56" s="26">
        <v>74755</v>
      </c>
      <c r="G56" s="18">
        <v>12541</v>
      </c>
      <c r="H56" s="18"/>
      <c r="I56" s="18">
        <v>120066</v>
      </c>
      <c r="J56" s="18"/>
      <c r="K56" s="12">
        <f t="shared" si="1"/>
        <v>248450</v>
      </c>
    </row>
    <row r="57" spans="1:12" x14ac:dyDescent="0.25">
      <c r="A57" s="15">
        <v>7380</v>
      </c>
      <c r="B57" s="15" t="s">
        <v>64</v>
      </c>
      <c r="C57" s="16"/>
      <c r="D57" s="16"/>
      <c r="E57" s="26"/>
      <c r="F57" s="26">
        <v>6243</v>
      </c>
      <c r="G57" s="18"/>
      <c r="H57" s="18"/>
      <c r="I57" s="18">
        <v>18971</v>
      </c>
      <c r="J57" s="18"/>
      <c r="K57" s="12">
        <f t="shared" si="1"/>
        <v>25214</v>
      </c>
    </row>
    <row r="58" spans="1:12" x14ac:dyDescent="0.25">
      <c r="A58" s="15">
        <v>7400</v>
      </c>
      <c r="B58" s="15" t="s">
        <v>65</v>
      </c>
      <c r="C58" s="16">
        <v>87560</v>
      </c>
      <c r="D58" s="11"/>
      <c r="E58" s="26"/>
      <c r="F58" s="26"/>
      <c r="G58" s="18"/>
      <c r="H58" s="18"/>
      <c r="I58" s="18"/>
      <c r="J58" s="18"/>
      <c r="K58" s="12">
        <v>0</v>
      </c>
      <c r="L58" t="s">
        <v>21</v>
      </c>
    </row>
    <row r="59" spans="1:12" x14ac:dyDescent="0.25">
      <c r="A59" s="15">
        <v>7410</v>
      </c>
      <c r="B59" s="15" t="s">
        <v>66</v>
      </c>
      <c r="C59" s="16">
        <v>500</v>
      </c>
      <c r="D59" s="49"/>
      <c r="E59" s="26">
        <v>500</v>
      </c>
      <c r="F59" s="26"/>
      <c r="G59" s="18"/>
      <c r="H59" s="18"/>
      <c r="I59" s="18">
        <v>830</v>
      </c>
      <c r="J59" s="18"/>
      <c r="K59" s="12">
        <f>SUM(C59:J59)</f>
        <v>1830</v>
      </c>
    </row>
    <row r="60" spans="1:12" x14ac:dyDescent="0.25">
      <c r="A60" s="15">
        <v>7420</v>
      </c>
      <c r="B60" s="15" t="s">
        <v>67</v>
      </c>
      <c r="C60" s="16">
        <v>3771</v>
      </c>
      <c r="D60" s="17"/>
      <c r="E60" s="26">
        <v>450</v>
      </c>
      <c r="F60" s="26">
        <v>1532</v>
      </c>
      <c r="G60" s="18">
        <v>1450</v>
      </c>
      <c r="H60" s="18">
        <v>888</v>
      </c>
      <c r="I60" s="18">
        <v>33093</v>
      </c>
      <c r="J60" s="18"/>
      <c r="K60" s="12">
        <f>SUM(C60:J60)</f>
        <v>41184</v>
      </c>
    </row>
    <row r="61" spans="1:12" x14ac:dyDescent="0.25">
      <c r="A61" s="15">
        <v>7440</v>
      </c>
      <c r="B61" s="15" t="s">
        <v>68</v>
      </c>
      <c r="C61" s="16">
        <v>52507</v>
      </c>
      <c r="D61" s="17"/>
      <c r="E61" s="26"/>
      <c r="F61" s="26"/>
      <c r="G61" s="18"/>
      <c r="H61" s="18"/>
      <c r="I61" s="18"/>
      <c r="J61" s="18"/>
      <c r="K61" s="12">
        <v>0</v>
      </c>
      <c r="L61" t="s">
        <v>21</v>
      </c>
    </row>
    <row r="62" spans="1:12" x14ac:dyDescent="0.25">
      <c r="A62" s="15">
        <v>7450</v>
      </c>
      <c r="B62" s="15" t="s">
        <v>69</v>
      </c>
      <c r="C62" s="16">
        <v>247137</v>
      </c>
      <c r="D62" s="22"/>
      <c r="E62" s="50"/>
      <c r="F62" s="22"/>
      <c r="G62" s="18"/>
      <c r="H62" s="18"/>
      <c r="I62" s="18"/>
      <c r="J62" s="18"/>
      <c r="K62" s="12">
        <v>0</v>
      </c>
      <c r="L62" t="s">
        <v>21</v>
      </c>
    </row>
    <row r="63" spans="1:12" x14ac:dyDescent="0.25">
      <c r="A63" s="15">
        <v>7451</v>
      </c>
      <c r="B63" s="15" t="s">
        <v>70</v>
      </c>
      <c r="C63" s="16"/>
      <c r="D63" s="22"/>
      <c r="E63" s="50">
        <v>55700</v>
      </c>
      <c r="F63" s="21">
        <v>63066</v>
      </c>
      <c r="G63" s="18">
        <v>27650</v>
      </c>
      <c r="H63" s="18">
        <v>1500</v>
      </c>
      <c r="I63" s="18"/>
      <c r="J63" s="18"/>
      <c r="K63" s="12">
        <f>SUM(C63:J63)</f>
        <v>147916</v>
      </c>
    </row>
    <row r="64" spans="1:12" x14ac:dyDescent="0.25">
      <c r="A64" s="51">
        <v>7455</v>
      </c>
      <c r="B64" s="52" t="s">
        <v>71</v>
      </c>
      <c r="C64" s="16">
        <v>91866</v>
      </c>
      <c r="D64" s="22"/>
      <c r="E64" s="50"/>
      <c r="F64" s="21"/>
      <c r="G64" s="18"/>
      <c r="H64" s="18"/>
      <c r="I64" s="18"/>
      <c r="J64" s="18"/>
      <c r="K64" s="12"/>
      <c r="L64" t="s">
        <v>21</v>
      </c>
    </row>
    <row r="65" spans="1:12" x14ac:dyDescent="0.25">
      <c r="A65" s="15">
        <v>7460</v>
      </c>
      <c r="B65" s="15" t="s">
        <v>72</v>
      </c>
      <c r="C65" s="16">
        <v>69936</v>
      </c>
      <c r="D65" s="22"/>
      <c r="E65" s="50"/>
      <c r="F65" s="22"/>
      <c r="G65" s="18"/>
      <c r="H65" s="18"/>
      <c r="I65" s="18"/>
      <c r="J65" s="18"/>
      <c r="K65" s="12">
        <v>0</v>
      </c>
      <c r="L65" t="s">
        <v>21</v>
      </c>
    </row>
    <row r="66" spans="1:12" x14ac:dyDescent="0.25">
      <c r="A66" s="15">
        <v>7490</v>
      </c>
      <c r="B66" s="15" t="s">
        <v>73</v>
      </c>
      <c r="C66" s="16"/>
      <c r="D66" s="17"/>
      <c r="E66" s="17"/>
      <c r="F66" s="17"/>
      <c r="G66" s="18"/>
      <c r="H66" s="18"/>
      <c r="I66" s="18"/>
      <c r="J66" s="18">
        <v>167800</v>
      </c>
      <c r="K66" s="12">
        <f>SUM(C66:J66)-166850</f>
        <v>950</v>
      </c>
      <c r="L66" t="s">
        <v>21</v>
      </c>
    </row>
    <row r="67" spans="1:12" s="54" customFormat="1" x14ac:dyDescent="0.25">
      <c r="A67" s="53" t="s">
        <v>74</v>
      </c>
      <c r="B67" s="53"/>
      <c r="C67" s="11">
        <f>SUM(C36:C66)</f>
        <v>721084</v>
      </c>
      <c r="D67" s="11">
        <f t="shared" ref="D67:K67" si="2">SUM(D36:D66)</f>
        <v>40453</v>
      </c>
      <c r="E67" s="11">
        <f t="shared" si="2"/>
        <v>644176</v>
      </c>
      <c r="F67" s="11">
        <f t="shared" si="2"/>
        <v>311121</v>
      </c>
      <c r="G67" s="11">
        <f t="shared" si="2"/>
        <v>88956</v>
      </c>
      <c r="H67" s="11">
        <f t="shared" si="2"/>
        <v>2505</v>
      </c>
      <c r="I67" s="11">
        <f t="shared" si="2"/>
        <v>192362</v>
      </c>
      <c r="J67" s="11">
        <f t="shared" si="2"/>
        <v>190620</v>
      </c>
      <c r="K67" s="11">
        <f t="shared" si="2"/>
        <v>1475421</v>
      </c>
    </row>
    <row r="68" spans="1:12" x14ac:dyDescent="0.25">
      <c r="A68" s="42" t="s">
        <v>75</v>
      </c>
      <c r="B68" s="43"/>
      <c r="C68" s="11" t="s">
        <v>1</v>
      </c>
      <c r="D68" s="11" t="s">
        <v>2</v>
      </c>
      <c r="E68" s="11" t="s">
        <v>3</v>
      </c>
      <c r="F68" s="11" t="s">
        <v>4</v>
      </c>
      <c r="G68" s="11" t="s">
        <v>5</v>
      </c>
      <c r="H68" s="11" t="s">
        <v>6</v>
      </c>
      <c r="I68" s="11" t="s">
        <v>7</v>
      </c>
      <c r="J68" s="11" t="s">
        <v>8</v>
      </c>
      <c r="K68" s="12" t="s">
        <v>9</v>
      </c>
    </row>
    <row r="69" spans="1:12" s="54" customFormat="1" x14ac:dyDescent="0.25">
      <c r="A69" s="53" t="s">
        <v>74</v>
      </c>
      <c r="B69" s="53"/>
      <c r="C69" s="11">
        <f>C67</f>
        <v>721084</v>
      </c>
      <c r="D69" s="11">
        <f t="shared" ref="D69:K69" si="3">D67</f>
        <v>40453</v>
      </c>
      <c r="E69" s="11">
        <f t="shared" si="3"/>
        <v>644176</v>
      </c>
      <c r="F69" s="11">
        <f t="shared" si="3"/>
        <v>311121</v>
      </c>
      <c r="G69" s="11">
        <f t="shared" si="3"/>
        <v>88956</v>
      </c>
      <c r="H69" s="11">
        <f t="shared" si="3"/>
        <v>2505</v>
      </c>
      <c r="I69" s="11">
        <f t="shared" si="3"/>
        <v>192362</v>
      </c>
      <c r="J69" s="11">
        <f t="shared" si="3"/>
        <v>190620</v>
      </c>
      <c r="K69" s="11">
        <f t="shared" si="3"/>
        <v>1475421</v>
      </c>
    </row>
    <row r="70" spans="1:12" x14ac:dyDescent="0.25">
      <c r="A70" s="15">
        <v>7510</v>
      </c>
      <c r="B70" s="15" t="s">
        <v>76</v>
      </c>
      <c r="C70" s="16">
        <v>26374</v>
      </c>
      <c r="D70" s="17"/>
      <c r="E70" s="17">
        <v>2475</v>
      </c>
      <c r="F70" s="17"/>
      <c r="G70" s="18"/>
      <c r="H70" s="18"/>
      <c r="I70" s="18">
        <v>11710</v>
      </c>
      <c r="J70" s="18"/>
      <c r="K70" s="12">
        <f t="shared" ref="K70:K82" si="4">SUM(C70:J70)</f>
        <v>40559</v>
      </c>
    </row>
    <row r="71" spans="1:12" x14ac:dyDescent="0.25">
      <c r="A71" s="55">
        <v>7630</v>
      </c>
      <c r="B71" s="15" t="s">
        <v>77</v>
      </c>
      <c r="C71" s="16"/>
      <c r="D71" s="17"/>
      <c r="E71" s="17">
        <v>46000</v>
      </c>
      <c r="F71" s="17">
        <v>3400</v>
      </c>
      <c r="G71" s="18"/>
      <c r="H71" s="18"/>
      <c r="I71" s="18"/>
      <c r="J71" s="18"/>
      <c r="K71" s="12">
        <f t="shared" si="4"/>
        <v>49400</v>
      </c>
    </row>
    <row r="72" spans="1:12" x14ac:dyDescent="0.25">
      <c r="A72" s="15">
        <v>7710</v>
      </c>
      <c r="B72" s="15" t="s">
        <v>78</v>
      </c>
      <c r="C72" s="16"/>
      <c r="D72" s="17"/>
      <c r="E72" s="17">
        <v>7000</v>
      </c>
      <c r="F72" s="17">
        <v>6500</v>
      </c>
      <c r="G72" s="18">
        <v>0</v>
      </c>
      <c r="H72" s="18"/>
      <c r="I72" s="18"/>
      <c r="J72" s="18"/>
      <c r="K72" s="12">
        <f t="shared" si="4"/>
        <v>13500</v>
      </c>
    </row>
    <row r="73" spans="1:12" s="23" customFormat="1" ht="12.75" x14ac:dyDescent="0.2">
      <c r="A73" s="15">
        <v>7715</v>
      </c>
      <c r="B73" s="15" t="s">
        <v>79</v>
      </c>
      <c r="C73" s="16"/>
      <c r="D73" s="16"/>
      <c r="E73" s="16">
        <v>11500</v>
      </c>
      <c r="F73" s="16"/>
      <c r="G73" s="16"/>
      <c r="H73" s="16"/>
      <c r="I73" s="16"/>
      <c r="J73" s="16"/>
      <c r="K73" s="12">
        <f t="shared" si="4"/>
        <v>11500</v>
      </c>
    </row>
    <row r="74" spans="1:12" x14ac:dyDescent="0.25">
      <c r="A74" s="15">
        <v>7730</v>
      </c>
      <c r="B74" s="15" t="s">
        <v>80</v>
      </c>
      <c r="C74" s="16"/>
      <c r="D74" s="17">
        <v>348</v>
      </c>
      <c r="E74" s="17">
        <v>18976</v>
      </c>
      <c r="F74" s="17">
        <v>13085</v>
      </c>
      <c r="G74" s="18">
        <v>4721</v>
      </c>
      <c r="H74" s="18"/>
      <c r="I74" s="18">
        <v>21822</v>
      </c>
      <c r="J74" s="18"/>
      <c r="K74" s="12">
        <f t="shared" si="4"/>
        <v>58952</v>
      </c>
    </row>
    <row r="75" spans="1:12" x14ac:dyDescent="0.25">
      <c r="A75" s="15">
        <v>7735</v>
      </c>
      <c r="B75" s="15" t="s">
        <v>81</v>
      </c>
      <c r="C75" s="16"/>
      <c r="D75" s="17"/>
      <c r="E75" s="17">
        <v>32418</v>
      </c>
      <c r="F75" s="17">
        <v>43304</v>
      </c>
      <c r="G75" s="18">
        <v>6338</v>
      </c>
      <c r="H75" s="18"/>
      <c r="I75" s="18"/>
      <c r="J75" s="18"/>
      <c r="K75" s="12">
        <f t="shared" si="4"/>
        <v>82060</v>
      </c>
    </row>
    <row r="76" spans="1:12" x14ac:dyDescent="0.25">
      <c r="A76" s="15">
        <v>7740</v>
      </c>
      <c r="B76" s="15" t="s">
        <v>82</v>
      </c>
      <c r="C76" s="16"/>
      <c r="D76" s="17"/>
      <c r="E76" s="17">
        <v>2946</v>
      </c>
      <c r="F76" s="17">
        <v>8646</v>
      </c>
      <c r="G76" s="18">
        <v>937</v>
      </c>
      <c r="H76" s="18"/>
      <c r="I76" s="18"/>
      <c r="J76" s="18"/>
      <c r="K76" s="12">
        <f t="shared" si="4"/>
        <v>12529</v>
      </c>
    </row>
    <row r="77" spans="1:12" x14ac:dyDescent="0.25">
      <c r="A77" s="30">
        <v>7750</v>
      </c>
      <c r="B77" s="30" t="s">
        <v>83</v>
      </c>
      <c r="C77" s="17"/>
      <c r="D77" s="17" t="s">
        <v>84</v>
      </c>
      <c r="E77" s="17">
        <v>10700</v>
      </c>
      <c r="F77" s="17">
        <v>500</v>
      </c>
      <c r="G77" s="18">
        <v>0</v>
      </c>
      <c r="H77" s="18"/>
      <c r="I77" s="18"/>
      <c r="J77" s="18"/>
      <c r="K77" s="12">
        <f t="shared" si="4"/>
        <v>11200</v>
      </c>
    </row>
    <row r="78" spans="1:12" x14ac:dyDescent="0.25">
      <c r="A78" s="30">
        <v>7760</v>
      </c>
      <c r="B78" s="30" t="s">
        <v>85</v>
      </c>
      <c r="C78" s="17"/>
      <c r="D78" s="17"/>
      <c r="E78" s="17">
        <v>7000</v>
      </c>
      <c r="F78" s="17">
        <v>6440</v>
      </c>
      <c r="G78" s="18"/>
      <c r="H78" s="18"/>
      <c r="I78" s="18">
        <v>6500</v>
      </c>
      <c r="J78" s="18"/>
      <c r="K78" s="12">
        <f t="shared" si="4"/>
        <v>19940</v>
      </c>
    </row>
    <row r="79" spans="1:12" x14ac:dyDescent="0.25">
      <c r="A79" s="30">
        <v>7770</v>
      </c>
      <c r="B79" s="30" t="s">
        <v>86</v>
      </c>
      <c r="C79" s="17"/>
      <c r="D79" s="17"/>
      <c r="E79" s="17">
        <v>1000</v>
      </c>
      <c r="F79" s="17">
        <v>98236</v>
      </c>
      <c r="G79" s="18">
        <v>2499</v>
      </c>
      <c r="H79" s="18"/>
      <c r="I79" s="18">
        <v>13950</v>
      </c>
      <c r="J79" s="18"/>
      <c r="K79" s="12">
        <f t="shared" si="4"/>
        <v>115685</v>
      </c>
    </row>
    <row r="80" spans="1:12" x14ac:dyDescent="0.25">
      <c r="A80" s="15">
        <v>7780</v>
      </c>
      <c r="B80" s="15" t="s">
        <v>87</v>
      </c>
      <c r="C80" s="17">
        <v>4662</v>
      </c>
      <c r="D80" s="17"/>
      <c r="E80" s="17">
        <v>7840</v>
      </c>
      <c r="F80" s="17">
        <v>17585</v>
      </c>
      <c r="G80" s="18">
        <v>14435</v>
      </c>
      <c r="H80" s="18">
        <v>38476</v>
      </c>
      <c r="I80" s="18">
        <v>7387</v>
      </c>
      <c r="J80" s="18"/>
      <c r="K80" s="12">
        <f t="shared" si="4"/>
        <v>90385</v>
      </c>
    </row>
    <row r="81" spans="1:12" x14ac:dyDescent="0.25">
      <c r="A81" s="55">
        <v>7830</v>
      </c>
      <c r="B81" s="55" t="s">
        <v>88</v>
      </c>
      <c r="C81" s="17"/>
      <c r="D81" s="17"/>
      <c r="E81" s="17">
        <v>600</v>
      </c>
      <c r="F81" s="17"/>
      <c r="G81" s="18"/>
      <c r="H81" s="18"/>
      <c r="I81" s="18"/>
      <c r="J81" s="18"/>
      <c r="K81" s="12">
        <f t="shared" si="4"/>
        <v>600</v>
      </c>
    </row>
    <row r="82" spans="1:12" x14ac:dyDescent="0.25">
      <c r="A82" s="55">
        <v>7840</v>
      </c>
      <c r="B82" s="55" t="s">
        <v>89</v>
      </c>
      <c r="C82" s="17"/>
      <c r="D82" s="17"/>
      <c r="E82" s="17">
        <v>8376</v>
      </c>
      <c r="F82" s="17">
        <v>1262</v>
      </c>
      <c r="G82" s="18">
        <v>1550</v>
      </c>
      <c r="H82" s="18"/>
      <c r="I82" s="18">
        <v>1100</v>
      </c>
      <c r="J82" s="18"/>
      <c r="K82" s="12">
        <f t="shared" si="4"/>
        <v>12288</v>
      </c>
    </row>
    <row r="83" spans="1:12" x14ac:dyDescent="0.25">
      <c r="A83" s="55">
        <v>7990</v>
      </c>
      <c r="B83" s="55" t="s">
        <v>90</v>
      </c>
      <c r="C83" s="17">
        <v>90521</v>
      </c>
      <c r="D83" s="17">
        <v>1208</v>
      </c>
      <c r="E83" s="17">
        <v>1333</v>
      </c>
      <c r="F83" s="17">
        <v>16204</v>
      </c>
      <c r="G83" s="18">
        <v>3646</v>
      </c>
      <c r="H83" s="18"/>
      <c r="I83" s="18">
        <v>129</v>
      </c>
      <c r="J83" s="18">
        <v>30000</v>
      </c>
      <c r="K83" s="12">
        <f>SUM(C83:J83)-90521</f>
        <v>52520</v>
      </c>
      <c r="L83" t="s">
        <v>21</v>
      </c>
    </row>
    <row r="84" spans="1:12" s="13" customFormat="1" ht="12.75" x14ac:dyDescent="0.2">
      <c r="A84" s="56" t="s">
        <v>91</v>
      </c>
      <c r="B84" s="56"/>
      <c r="C84" s="11">
        <f>SUM(C69:C83)</f>
        <v>842641</v>
      </c>
      <c r="D84" s="11">
        <f t="shared" ref="D84:K84" si="5">SUM(D69:D83)</f>
        <v>42009</v>
      </c>
      <c r="E84" s="11">
        <f t="shared" si="5"/>
        <v>802340</v>
      </c>
      <c r="F84" s="11">
        <f t="shared" si="5"/>
        <v>526283</v>
      </c>
      <c r="G84" s="11">
        <f t="shared" si="5"/>
        <v>123082</v>
      </c>
      <c r="H84" s="11">
        <f t="shared" si="5"/>
        <v>40981</v>
      </c>
      <c r="I84" s="11">
        <f t="shared" si="5"/>
        <v>254960</v>
      </c>
      <c r="J84" s="11">
        <f t="shared" si="5"/>
        <v>220620</v>
      </c>
      <c r="K84" s="11">
        <f t="shared" si="5"/>
        <v>2046539</v>
      </c>
    </row>
    <row r="85" spans="1:12" s="13" customFormat="1" ht="12.75" x14ac:dyDescent="0.2">
      <c r="A85" s="56"/>
      <c r="B85" s="56"/>
      <c r="C85" s="11"/>
      <c r="D85" s="11"/>
      <c r="E85" s="11"/>
      <c r="F85" s="11"/>
      <c r="G85" s="11"/>
      <c r="H85" s="11"/>
      <c r="I85" s="11"/>
      <c r="J85" s="11"/>
      <c r="K85" s="12"/>
    </row>
    <row r="86" spans="1:12" s="13" customFormat="1" ht="12.75" x14ac:dyDescent="0.2">
      <c r="A86" s="56" t="s">
        <v>92</v>
      </c>
      <c r="B86" s="56"/>
      <c r="C86" s="11">
        <f>C27-C84+1</f>
        <v>-54191</v>
      </c>
      <c r="D86" s="11">
        <f>D27-D84</f>
        <v>20589</v>
      </c>
      <c r="E86" s="11">
        <f>E27-E84-1</f>
        <v>132119</v>
      </c>
      <c r="F86" s="11">
        <f t="shared" ref="F86:K86" si="6">F27-F84</f>
        <v>69930</v>
      </c>
      <c r="G86" s="11">
        <f t="shared" si="6"/>
        <v>62660</v>
      </c>
      <c r="H86" s="11">
        <f t="shared" si="6"/>
        <v>-5267</v>
      </c>
      <c r="I86" s="11">
        <f t="shared" si="6"/>
        <v>-13166</v>
      </c>
      <c r="J86" s="11">
        <f t="shared" si="6"/>
        <v>-16833</v>
      </c>
      <c r="K86" s="11">
        <f t="shared" si="6"/>
        <v>195842</v>
      </c>
    </row>
    <row r="87" spans="1:12" s="13" customFormat="1" ht="12.75" x14ac:dyDescent="0.2">
      <c r="A87" s="56"/>
      <c r="B87" s="56"/>
      <c r="C87" s="11"/>
      <c r="D87" s="11"/>
      <c r="E87" s="11"/>
      <c r="F87" s="11"/>
      <c r="G87" s="11"/>
      <c r="H87" s="11"/>
      <c r="I87" s="11"/>
      <c r="J87" s="11"/>
      <c r="K87" s="12"/>
    </row>
    <row r="88" spans="1:12" x14ac:dyDescent="0.25">
      <c r="A88" s="57" t="s">
        <v>93</v>
      </c>
      <c r="B88" s="58"/>
      <c r="C88" s="16"/>
      <c r="D88" s="17"/>
      <c r="E88" s="17"/>
      <c r="F88" s="17"/>
      <c r="G88" s="16"/>
      <c r="H88" s="16"/>
      <c r="I88" s="16"/>
      <c r="J88" s="18"/>
      <c r="K88" s="46"/>
    </row>
    <row r="89" spans="1:12" x14ac:dyDescent="0.25">
      <c r="A89" s="15">
        <v>8010</v>
      </c>
      <c r="B89" s="33" t="s">
        <v>94</v>
      </c>
      <c r="C89" s="16">
        <v>165</v>
      </c>
      <c r="D89" s="17">
        <v>89</v>
      </c>
      <c r="E89" s="17">
        <v>1408</v>
      </c>
      <c r="F89" s="17">
        <v>569</v>
      </c>
      <c r="G89" s="16">
        <v>158</v>
      </c>
      <c r="H89" s="16">
        <v>24</v>
      </c>
      <c r="I89" s="16">
        <v>314</v>
      </c>
      <c r="J89" s="18">
        <v>132</v>
      </c>
      <c r="K89" s="46">
        <f>SUM(C89:J89)</f>
        <v>2859</v>
      </c>
    </row>
    <row r="90" spans="1:12" x14ac:dyDescent="0.25">
      <c r="A90" s="30">
        <v>8050</v>
      </c>
      <c r="B90" s="59" t="s">
        <v>95</v>
      </c>
      <c r="C90" s="16"/>
      <c r="D90" s="17"/>
      <c r="E90" s="17"/>
      <c r="F90" s="17">
        <v>800</v>
      </c>
      <c r="G90" s="16"/>
      <c r="H90" s="16"/>
      <c r="I90" s="16"/>
      <c r="J90" s="18"/>
      <c r="K90" s="46">
        <f>SUM(C90:J90)</f>
        <v>800</v>
      </c>
    </row>
    <row r="91" spans="1:12" x14ac:dyDescent="0.25">
      <c r="A91" s="60">
        <v>8140</v>
      </c>
      <c r="B91" s="61" t="s">
        <v>96</v>
      </c>
      <c r="C91" s="16"/>
      <c r="D91" s="17"/>
      <c r="E91" s="17"/>
      <c r="F91" s="17">
        <v>181</v>
      </c>
      <c r="G91" s="16"/>
      <c r="H91" s="16"/>
      <c r="I91" s="16"/>
      <c r="J91" s="18"/>
      <c r="K91" s="46">
        <f>SUM(C91:J91)</f>
        <v>181</v>
      </c>
    </row>
    <row r="92" spans="1:12" s="62" customFormat="1" x14ac:dyDescent="0.25">
      <c r="A92" s="15">
        <v>8170</v>
      </c>
      <c r="B92" s="33" t="s">
        <v>97</v>
      </c>
      <c r="C92" s="16">
        <v>-600</v>
      </c>
      <c r="D92" s="17">
        <v>-110</v>
      </c>
      <c r="E92" s="17">
        <f>(50+3692)*-1</f>
        <v>-3742</v>
      </c>
      <c r="F92" s="17">
        <v>-2563</v>
      </c>
      <c r="G92" s="16">
        <v>-87</v>
      </c>
      <c r="H92" s="16"/>
      <c r="I92" s="16">
        <v>-120</v>
      </c>
      <c r="J92" s="18">
        <v>-120</v>
      </c>
      <c r="K92" s="46">
        <f>SUM(C92:J92)</f>
        <v>-7342</v>
      </c>
    </row>
    <row r="93" spans="1:12" s="13" customFormat="1" ht="12.75" x14ac:dyDescent="0.2">
      <c r="A93" s="10" t="s">
        <v>98</v>
      </c>
      <c r="B93" s="63"/>
      <c r="C93" s="11">
        <f>C89+C92</f>
        <v>-435</v>
      </c>
      <c r="D93" s="11">
        <f>D89+D90+D91+D92</f>
        <v>-21</v>
      </c>
      <c r="E93" s="11">
        <f t="shared" ref="E93:K93" si="7">E89+E90+E91+E92</f>
        <v>-2334</v>
      </c>
      <c r="F93" s="11">
        <f t="shared" si="7"/>
        <v>-1013</v>
      </c>
      <c r="G93" s="11">
        <f t="shared" si="7"/>
        <v>71</v>
      </c>
      <c r="H93" s="11">
        <f t="shared" si="7"/>
        <v>24</v>
      </c>
      <c r="I93" s="11">
        <f t="shared" si="7"/>
        <v>194</v>
      </c>
      <c r="J93" s="11">
        <f t="shared" si="7"/>
        <v>12</v>
      </c>
      <c r="K93" s="11">
        <f t="shared" si="7"/>
        <v>-3502</v>
      </c>
    </row>
    <row r="94" spans="1:12" s="13" customFormat="1" ht="12.75" x14ac:dyDescent="0.2">
      <c r="A94" s="64"/>
      <c r="B94" s="65"/>
      <c r="D94" s="11"/>
      <c r="E94" s="11"/>
      <c r="F94" s="11"/>
      <c r="G94" s="11"/>
      <c r="H94" s="11"/>
      <c r="I94" s="11"/>
      <c r="J94" s="11"/>
      <c r="K94" s="46"/>
    </row>
    <row r="95" spans="1:12" s="13" customFormat="1" ht="12.75" x14ac:dyDescent="0.2">
      <c r="A95" s="64" t="s">
        <v>99</v>
      </c>
      <c r="B95" s="64"/>
      <c r="C95" s="11">
        <f>C86+C93-1</f>
        <v>-54627</v>
      </c>
      <c r="D95" s="11">
        <f t="shared" ref="D95:K95" si="8">D86+D93</f>
        <v>20568</v>
      </c>
      <c r="E95" s="11">
        <f t="shared" si="8"/>
        <v>129785</v>
      </c>
      <c r="F95" s="11">
        <f t="shared" si="8"/>
        <v>68917</v>
      </c>
      <c r="G95" s="11">
        <f>G86+G93+1</f>
        <v>62732</v>
      </c>
      <c r="H95" s="11">
        <f t="shared" si="8"/>
        <v>-5243</v>
      </c>
      <c r="I95" s="11">
        <f t="shared" si="8"/>
        <v>-12972</v>
      </c>
      <c r="J95" s="11">
        <f t="shared" si="8"/>
        <v>-16821</v>
      </c>
      <c r="K95" s="11">
        <f t="shared" si="8"/>
        <v>192340</v>
      </c>
    </row>
    <row r="96" spans="1:12" s="38" customFormat="1" ht="12.75" x14ac:dyDescent="0.2">
      <c r="C96" s="41"/>
      <c r="D96" s="41"/>
      <c r="E96" s="41"/>
      <c r="F96" s="41"/>
      <c r="G96" s="41"/>
      <c r="H96" s="41"/>
      <c r="I96" s="41"/>
      <c r="J96" s="41"/>
      <c r="K96" s="66"/>
    </row>
    <row r="97" spans="1:12" s="62" customFormat="1" x14ac:dyDescent="0.25">
      <c r="A97" s="67"/>
      <c r="B97" s="67"/>
      <c r="C97" s="68"/>
      <c r="D97" s="69"/>
      <c r="E97" s="69"/>
      <c r="F97" s="69"/>
      <c r="G97" s="68"/>
      <c r="H97" s="68"/>
      <c r="I97" s="68"/>
      <c r="J97" s="70"/>
      <c r="K97" s="66"/>
    </row>
    <row r="98" spans="1:12" s="38" customFormat="1" ht="12.75" x14ac:dyDescent="0.2">
      <c r="C98" s="66"/>
      <c r="D98" s="66"/>
      <c r="E98" s="66"/>
      <c r="F98" s="41"/>
      <c r="G98" s="66"/>
      <c r="H98" s="66"/>
      <c r="I98" s="66"/>
      <c r="J98" s="66"/>
      <c r="K98" s="66"/>
    </row>
    <row r="99" spans="1:12" s="62" customFormat="1" x14ac:dyDescent="0.25">
      <c r="A99" s="38"/>
      <c r="B99" s="38"/>
      <c r="C99" s="68"/>
      <c r="D99" s="69"/>
      <c r="E99" s="69"/>
      <c r="F99" s="69"/>
      <c r="G99" s="68"/>
      <c r="H99" s="68"/>
      <c r="I99" s="68"/>
      <c r="J99" s="70"/>
      <c r="K99" s="14"/>
    </row>
    <row r="100" spans="1:12" s="62" customFormat="1" x14ac:dyDescent="0.25">
      <c r="A100" s="38"/>
      <c r="B100" s="38"/>
      <c r="C100" s="68"/>
      <c r="D100" s="69"/>
      <c r="E100" s="69"/>
      <c r="F100" s="69"/>
      <c r="G100" s="68"/>
      <c r="H100" s="68"/>
      <c r="I100" s="68"/>
      <c r="J100" s="70"/>
      <c r="K100" s="14"/>
    </row>
    <row r="101" spans="1:12" s="62" customFormat="1" x14ac:dyDescent="0.25">
      <c r="A101" s="38"/>
      <c r="B101" s="38"/>
      <c r="C101" s="68"/>
      <c r="D101" s="69"/>
      <c r="E101" s="69"/>
      <c r="F101" s="69"/>
      <c r="G101" s="68"/>
      <c r="H101" s="68"/>
      <c r="I101" s="68"/>
      <c r="J101" s="70"/>
      <c r="K101" s="14"/>
    </row>
    <row r="102" spans="1:12" s="62" customFormat="1" x14ac:dyDescent="0.25">
      <c r="A102" s="38"/>
      <c r="B102" s="38"/>
      <c r="C102" s="68"/>
      <c r="D102" s="69"/>
      <c r="E102" s="69"/>
      <c r="F102" s="69"/>
      <c r="G102" s="68"/>
      <c r="H102" s="68"/>
      <c r="I102" s="68"/>
      <c r="J102" s="70"/>
      <c r="K102" s="14"/>
    </row>
    <row r="103" spans="1:12" ht="15.75" x14ac:dyDescent="0.25">
      <c r="A103" s="71"/>
      <c r="B103" s="119" t="s">
        <v>164</v>
      </c>
      <c r="C103" s="68"/>
      <c r="G103" s="68"/>
      <c r="H103" s="68"/>
      <c r="I103" s="68"/>
      <c r="J103" s="70"/>
    </row>
    <row r="104" spans="1:12" x14ac:dyDescent="0.25">
      <c r="A104" s="9" t="s">
        <v>100</v>
      </c>
      <c r="B104" s="65"/>
      <c r="C104" s="11" t="s">
        <v>1</v>
      </c>
      <c r="D104" s="11" t="s">
        <v>2</v>
      </c>
      <c r="E104" s="11" t="s">
        <v>3</v>
      </c>
      <c r="F104" s="11" t="s">
        <v>4</v>
      </c>
      <c r="G104" s="11" t="s">
        <v>5</v>
      </c>
      <c r="H104" s="11" t="s">
        <v>6</v>
      </c>
      <c r="I104" s="11" t="s">
        <v>7</v>
      </c>
      <c r="J104" s="11" t="s">
        <v>8</v>
      </c>
      <c r="K104" s="12" t="s">
        <v>9</v>
      </c>
    </row>
    <row r="105" spans="1:12" x14ac:dyDescent="0.25">
      <c r="A105" s="64" t="s">
        <v>101</v>
      </c>
      <c r="B105" s="65"/>
      <c r="C105" s="16"/>
      <c r="D105" s="17"/>
      <c r="E105" s="17"/>
      <c r="F105" s="17"/>
      <c r="G105" s="16"/>
      <c r="H105" s="16"/>
      <c r="I105" s="16"/>
      <c r="J105" s="18"/>
      <c r="K105" s="46"/>
    </row>
    <row r="106" spans="1:12" x14ac:dyDescent="0.25">
      <c r="A106" s="15">
        <v>1460</v>
      </c>
      <c r="B106" s="33" t="s">
        <v>102</v>
      </c>
      <c r="C106" s="16"/>
      <c r="D106" s="17"/>
      <c r="E106" s="17"/>
      <c r="F106" s="17">
        <v>5491</v>
      </c>
      <c r="G106" s="16">
        <v>1323</v>
      </c>
      <c r="H106" s="16"/>
      <c r="I106" s="16"/>
      <c r="J106" s="18"/>
      <c r="K106" s="46">
        <f>SUM(C106:J106)</f>
        <v>6814</v>
      </c>
    </row>
    <row r="107" spans="1:12" x14ac:dyDescent="0.25">
      <c r="A107" s="15">
        <v>1465</v>
      </c>
      <c r="B107" s="33" t="s">
        <v>103</v>
      </c>
      <c r="C107" s="16"/>
      <c r="D107" s="17"/>
      <c r="E107" s="17"/>
      <c r="F107" s="17">
        <v>4994</v>
      </c>
      <c r="G107" s="16"/>
      <c r="H107" s="16"/>
      <c r="I107" s="16">
        <v>5943</v>
      </c>
      <c r="J107" s="18"/>
      <c r="K107" s="46">
        <f>SUM(C107:J107)</f>
        <v>10937</v>
      </c>
    </row>
    <row r="108" spans="1:12" x14ac:dyDescent="0.25">
      <c r="A108" s="15">
        <v>1500</v>
      </c>
      <c r="B108" s="33" t="s">
        <v>104</v>
      </c>
      <c r="C108" s="16">
        <v>96311</v>
      </c>
      <c r="D108" s="17"/>
      <c r="E108" s="17">
        <v>55993</v>
      </c>
      <c r="F108" s="17">
        <f>35373+3289-700+1</f>
        <v>37963</v>
      </c>
      <c r="G108" s="16">
        <f>400+10825+313</f>
        <v>11538</v>
      </c>
      <c r="H108" s="16"/>
      <c r="I108" s="16">
        <v>5900</v>
      </c>
      <c r="J108" s="18">
        <v>22500</v>
      </c>
      <c r="K108" s="46">
        <f>SUM(C108:J108)</f>
        <v>230205</v>
      </c>
    </row>
    <row r="109" spans="1:12" x14ac:dyDescent="0.25">
      <c r="A109" s="15">
        <v>1570</v>
      </c>
      <c r="B109" s="33" t="s">
        <v>105</v>
      </c>
      <c r="C109" s="16"/>
      <c r="D109" s="17">
        <v>7673</v>
      </c>
      <c r="E109" s="17">
        <v>29883</v>
      </c>
      <c r="F109" s="17">
        <v>25643</v>
      </c>
      <c r="G109" s="16">
        <v>11711</v>
      </c>
      <c r="H109" s="16">
        <v>4644</v>
      </c>
      <c r="I109" s="16">
        <v>16759</v>
      </c>
      <c r="J109" s="18"/>
      <c r="K109" s="46">
        <v>0</v>
      </c>
      <c r="L109" t="s">
        <v>21</v>
      </c>
    </row>
    <row r="110" spans="1:12" x14ac:dyDescent="0.25">
      <c r="A110" s="15">
        <v>1580</v>
      </c>
      <c r="B110" s="33" t="s">
        <v>106</v>
      </c>
      <c r="C110" s="16"/>
      <c r="D110" s="17"/>
      <c r="E110" s="17"/>
      <c r="F110" s="17">
        <v>8436</v>
      </c>
      <c r="G110" s="16">
        <v>10500</v>
      </c>
      <c r="H110" s="16"/>
      <c r="I110" s="16"/>
      <c r="J110" s="18"/>
      <c r="K110" s="46">
        <v>0</v>
      </c>
      <c r="L110" s="23" t="s">
        <v>21</v>
      </c>
    </row>
    <row r="111" spans="1:12" x14ac:dyDescent="0.25">
      <c r="A111" s="72">
        <v>1900</v>
      </c>
      <c r="B111" s="73" t="s">
        <v>107</v>
      </c>
      <c r="C111" s="16">
        <v>1697</v>
      </c>
      <c r="D111" s="17"/>
      <c r="E111" s="17">
        <v>2827</v>
      </c>
      <c r="F111" s="17">
        <f>21750+2000</f>
        <v>23750</v>
      </c>
      <c r="G111" s="16">
        <f>2600+5609</f>
        <v>8209</v>
      </c>
      <c r="H111" s="16">
        <v>-2</v>
      </c>
      <c r="I111" s="16"/>
      <c r="J111" s="18"/>
      <c r="K111" s="46">
        <f>SUM(C111:J111)</f>
        <v>36481</v>
      </c>
    </row>
    <row r="112" spans="1:12" x14ac:dyDescent="0.25">
      <c r="A112" s="30">
        <v>1910</v>
      </c>
      <c r="B112" s="59" t="s">
        <v>108</v>
      </c>
      <c r="C112" s="16">
        <v>137780</v>
      </c>
      <c r="D112" s="17">
        <v>92566</v>
      </c>
      <c r="E112" s="17">
        <f>313991+73483+529+400747</f>
        <v>788750</v>
      </c>
      <c r="F112" s="17">
        <f>92+136171+4+19773+1+436568</f>
        <v>592609</v>
      </c>
      <c r="G112" s="16">
        <f>777+187817</f>
        <v>188594</v>
      </c>
      <c r="H112" s="16">
        <v>11712</v>
      </c>
      <c r="I112" s="16">
        <f>15465+103151</f>
        <v>118616</v>
      </c>
      <c r="J112" s="18">
        <v>137143</v>
      </c>
      <c r="K112" s="46">
        <f>SUM(C112:J112)</f>
        <v>2067770</v>
      </c>
    </row>
    <row r="113" spans="1:12" s="13" customFormat="1" ht="12.75" x14ac:dyDescent="0.2">
      <c r="A113" s="43" t="s">
        <v>109</v>
      </c>
      <c r="B113" s="74"/>
      <c r="C113" s="11">
        <f>SUM(C106:C112)</f>
        <v>235788</v>
      </c>
      <c r="D113" s="11">
        <f t="shared" ref="D113:J113" si="9">SUM(D106:D112)</f>
        <v>100239</v>
      </c>
      <c r="E113" s="11">
        <f>SUM(E106:E112)-1</f>
        <v>877452</v>
      </c>
      <c r="F113" s="11">
        <f t="shared" si="9"/>
        <v>698886</v>
      </c>
      <c r="G113" s="11">
        <f>SUM(G106:G112)-2</f>
        <v>231873</v>
      </c>
      <c r="H113" s="11">
        <f t="shared" si="9"/>
        <v>16354</v>
      </c>
      <c r="I113" s="11">
        <f>SUM(I106:I112)</f>
        <v>147218</v>
      </c>
      <c r="J113" s="11">
        <f t="shared" si="9"/>
        <v>159643</v>
      </c>
      <c r="K113" s="11">
        <f>SUM(K106:K112)</f>
        <v>2352207</v>
      </c>
    </row>
    <row r="114" spans="1:12" s="13" customFormat="1" ht="13.5" customHeight="1" x14ac:dyDescent="0.2">
      <c r="A114" s="43"/>
      <c r="B114" s="74"/>
      <c r="C114" s="11"/>
      <c r="D114" s="11"/>
      <c r="E114" s="11"/>
      <c r="F114" s="11"/>
      <c r="G114" s="11"/>
      <c r="H114" s="11"/>
      <c r="I114" s="11"/>
      <c r="J114" s="11"/>
      <c r="K114" s="46"/>
    </row>
    <row r="115" spans="1:12" x14ac:dyDescent="0.25">
      <c r="A115" s="75" t="s">
        <v>110</v>
      </c>
      <c r="B115" s="59"/>
      <c r="C115" s="16"/>
      <c r="D115" s="17"/>
      <c r="E115" s="17"/>
      <c r="F115" s="17"/>
      <c r="G115" s="16"/>
      <c r="H115" s="16"/>
      <c r="I115" s="16"/>
      <c r="J115" s="18"/>
      <c r="K115" s="46"/>
    </row>
    <row r="116" spans="1:12" x14ac:dyDescent="0.25">
      <c r="A116" s="30">
        <v>2020</v>
      </c>
      <c r="B116" s="59" t="s">
        <v>111</v>
      </c>
      <c r="C116" s="16">
        <f>C95</f>
        <v>-54627</v>
      </c>
      <c r="D116" s="16">
        <f t="shared" ref="D116:K116" si="10">D95</f>
        <v>20568</v>
      </c>
      <c r="E116" s="16">
        <f t="shared" si="10"/>
        <v>129785</v>
      </c>
      <c r="F116" s="16">
        <f t="shared" si="10"/>
        <v>68917</v>
      </c>
      <c r="G116" s="16">
        <f t="shared" si="10"/>
        <v>62732</v>
      </c>
      <c r="H116" s="16">
        <f t="shared" si="10"/>
        <v>-5243</v>
      </c>
      <c r="I116" s="16">
        <f t="shared" si="10"/>
        <v>-12972</v>
      </c>
      <c r="J116" s="16">
        <f t="shared" si="10"/>
        <v>-16821</v>
      </c>
      <c r="K116" s="16">
        <f t="shared" si="10"/>
        <v>192340</v>
      </c>
      <c r="L116" s="69"/>
    </row>
    <row r="117" spans="1:12" x14ac:dyDescent="0.25">
      <c r="A117" s="30">
        <v>2050</v>
      </c>
      <c r="B117" s="33" t="s">
        <v>112</v>
      </c>
      <c r="C117" s="16">
        <v>194103</v>
      </c>
      <c r="D117" s="17">
        <v>79671</v>
      </c>
      <c r="E117" s="17">
        <v>736742</v>
      </c>
      <c r="F117" s="17">
        <v>615314</v>
      </c>
      <c r="G117" s="16">
        <v>169141</v>
      </c>
      <c r="H117" s="16">
        <v>21597</v>
      </c>
      <c r="I117" s="16">
        <v>159995</v>
      </c>
      <c r="J117" s="18">
        <v>157528</v>
      </c>
      <c r="K117" s="46">
        <f>SUM(C117:J117)</f>
        <v>2134091</v>
      </c>
    </row>
    <row r="118" spans="1:12" s="13" customFormat="1" ht="12.75" x14ac:dyDescent="0.2">
      <c r="A118" s="43" t="s">
        <v>113</v>
      </c>
      <c r="B118" s="65"/>
      <c r="C118" s="11">
        <f t="shared" ref="C118:K118" si="11">C116+C117</f>
        <v>139476</v>
      </c>
      <c r="D118" s="11">
        <f t="shared" si="11"/>
        <v>100239</v>
      </c>
      <c r="E118" s="11">
        <f t="shared" si="11"/>
        <v>866527</v>
      </c>
      <c r="F118" s="11">
        <f t="shared" si="11"/>
        <v>684231</v>
      </c>
      <c r="G118" s="11">
        <f t="shared" si="11"/>
        <v>231873</v>
      </c>
      <c r="H118" s="11">
        <f t="shared" si="11"/>
        <v>16354</v>
      </c>
      <c r="I118" s="11">
        <f t="shared" si="11"/>
        <v>147023</v>
      </c>
      <c r="J118" s="11">
        <f t="shared" si="11"/>
        <v>140707</v>
      </c>
      <c r="K118" s="11">
        <f t="shared" si="11"/>
        <v>2326431</v>
      </c>
      <c r="L118" s="37"/>
    </row>
    <row r="119" spans="1:12" s="13" customFormat="1" ht="11.25" customHeight="1" x14ac:dyDescent="0.2">
      <c r="A119" s="30"/>
      <c r="B119" s="65"/>
      <c r="C119" s="11"/>
      <c r="D119" s="11"/>
      <c r="E119" s="11"/>
      <c r="F119" s="11"/>
      <c r="G119" s="11"/>
      <c r="H119" s="11"/>
      <c r="I119" s="11"/>
      <c r="J119" s="11"/>
      <c r="K119" s="46"/>
    </row>
    <row r="120" spans="1:12" s="13" customFormat="1" ht="11.25" customHeight="1" x14ac:dyDescent="0.2">
      <c r="A120" s="43" t="s">
        <v>114</v>
      </c>
      <c r="B120" s="65"/>
      <c r="C120" s="11"/>
      <c r="D120" s="11"/>
      <c r="E120" s="11"/>
      <c r="F120" s="11"/>
      <c r="G120" s="11"/>
      <c r="H120" s="11"/>
      <c r="I120" s="11"/>
      <c r="J120" s="11"/>
      <c r="K120" s="46"/>
    </row>
    <row r="121" spans="1:12" x14ac:dyDescent="0.25">
      <c r="A121" s="15">
        <v>2400</v>
      </c>
      <c r="B121" s="33" t="s">
        <v>114</v>
      </c>
      <c r="C121" s="16"/>
      <c r="D121" s="17"/>
      <c r="E121" s="17"/>
      <c r="F121" s="17">
        <v>14655</v>
      </c>
      <c r="G121" s="16"/>
      <c r="H121" s="16"/>
      <c r="I121" s="16">
        <v>195</v>
      </c>
      <c r="J121" s="18">
        <v>18936</v>
      </c>
      <c r="K121" s="46">
        <f>SUM(C121:J121)-18936+1</f>
        <v>14851</v>
      </c>
      <c r="L121" s="23" t="s">
        <v>21</v>
      </c>
    </row>
    <row r="122" spans="1:12" x14ac:dyDescent="0.25">
      <c r="A122" s="76">
        <v>2420</v>
      </c>
      <c r="B122" s="33" t="s">
        <v>115</v>
      </c>
      <c r="C122" s="16"/>
      <c r="D122" s="17"/>
      <c r="E122" s="17">
        <v>10925</v>
      </c>
      <c r="F122" s="17"/>
      <c r="G122" s="16"/>
      <c r="H122" s="16"/>
      <c r="I122" s="16"/>
      <c r="J122" s="18"/>
      <c r="K122" s="46">
        <f>SUM(C122:J122)</f>
        <v>10925</v>
      </c>
    </row>
    <row r="123" spans="1:12" x14ac:dyDescent="0.25">
      <c r="A123" s="76">
        <v>2421</v>
      </c>
      <c r="B123" s="33" t="s">
        <v>116</v>
      </c>
      <c r="C123" s="16">
        <v>7673</v>
      </c>
      <c r="D123" s="17"/>
      <c r="E123" s="17"/>
      <c r="F123" s="17"/>
      <c r="G123" s="16"/>
      <c r="H123" s="16"/>
      <c r="I123" s="16"/>
      <c r="J123" s="18"/>
      <c r="K123" s="46">
        <v>0</v>
      </c>
      <c r="L123" t="s">
        <v>21</v>
      </c>
    </row>
    <row r="124" spans="1:12" x14ac:dyDescent="0.25">
      <c r="A124" s="76">
        <v>2422</v>
      </c>
      <c r="B124" s="33" t="s">
        <v>117</v>
      </c>
      <c r="C124" s="16">
        <v>29883</v>
      </c>
      <c r="D124" s="17"/>
      <c r="E124" s="17"/>
      <c r="F124" s="17"/>
      <c r="G124" s="16"/>
      <c r="H124" s="16"/>
      <c r="I124" s="16"/>
      <c r="J124" s="18"/>
      <c r="K124" s="46">
        <v>0</v>
      </c>
      <c r="L124" t="s">
        <v>21</v>
      </c>
    </row>
    <row r="125" spans="1:12" x14ac:dyDescent="0.25">
      <c r="A125" s="76">
        <v>2423</v>
      </c>
      <c r="B125" s="33" t="s">
        <v>118</v>
      </c>
      <c r="C125" s="16">
        <v>25643</v>
      </c>
      <c r="D125" s="17"/>
      <c r="E125" s="17"/>
      <c r="F125" s="17"/>
      <c r="G125" s="16"/>
      <c r="H125" s="16"/>
      <c r="I125" s="16"/>
      <c r="J125" s="18"/>
      <c r="K125" s="46">
        <v>0</v>
      </c>
      <c r="L125" t="s">
        <v>21</v>
      </c>
    </row>
    <row r="126" spans="1:12" x14ac:dyDescent="0.25">
      <c r="A126" s="76">
        <v>2424</v>
      </c>
      <c r="B126" s="33" t="s">
        <v>119</v>
      </c>
      <c r="C126" s="16">
        <v>11711</v>
      </c>
      <c r="D126" s="17"/>
      <c r="E126" s="17"/>
      <c r="F126" s="17"/>
      <c r="G126" s="16"/>
      <c r="H126" s="16"/>
      <c r="I126" s="16"/>
      <c r="J126" s="18"/>
      <c r="K126" s="46">
        <v>0</v>
      </c>
      <c r="L126" t="s">
        <v>21</v>
      </c>
    </row>
    <row r="127" spans="1:12" x14ac:dyDescent="0.25">
      <c r="A127" s="76">
        <v>2425</v>
      </c>
      <c r="B127" s="33" t="s">
        <v>120</v>
      </c>
      <c r="C127" s="16">
        <v>4644</v>
      </c>
      <c r="D127" s="17"/>
      <c r="E127" s="17"/>
      <c r="F127" s="17"/>
      <c r="G127" s="16"/>
      <c r="H127" s="16"/>
      <c r="I127" s="16"/>
      <c r="J127" s="18"/>
      <c r="K127" s="46">
        <v>0</v>
      </c>
      <c r="L127" t="s">
        <v>21</v>
      </c>
    </row>
    <row r="128" spans="1:12" x14ac:dyDescent="0.25">
      <c r="A128" s="76">
        <v>2426</v>
      </c>
      <c r="B128" s="33" t="s">
        <v>121</v>
      </c>
      <c r="C128" s="68">
        <v>16759</v>
      </c>
      <c r="D128" s="17"/>
      <c r="E128" s="17"/>
      <c r="F128" s="17"/>
      <c r="G128" s="16"/>
      <c r="H128" s="16"/>
      <c r="I128" s="16"/>
      <c r="J128" s="18"/>
      <c r="K128" s="46">
        <v>0</v>
      </c>
      <c r="L128" s="23" t="s">
        <v>21</v>
      </c>
    </row>
    <row r="129" spans="1:11" s="13" customFormat="1" ht="12.75" x14ac:dyDescent="0.2">
      <c r="A129" s="64" t="s">
        <v>122</v>
      </c>
      <c r="B129" s="65"/>
      <c r="C129" s="11">
        <f>SUM(C121:C128)-2</f>
        <v>96311</v>
      </c>
      <c r="D129" s="11">
        <f t="shared" ref="D129:J129" si="12">SUM(D121:D128)</f>
        <v>0</v>
      </c>
      <c r="E129" s="11">
        <f t="shared" si="12"/>
        <v>10925</v>
      </c>
      <c r="F129" s="11">
        <f t="shared" si="12"/>
        <v>14655</v>
      </c>
      <c r="G129" s="11">
        <f t="shared" si="12"/>
        <v>0</v>
      </c>
      <c r="H129" s="11">
        <f t="shared" si="12"/>
        <v>0</v>
      </c>
      <c r="I129" s="11">
        <f t="shared" si="12"/>
        <v>195</v>
      </c>
      <c r="J129" s="11">
        <f t="shared" si="12"/>
        <v>18936</v>
      </c>
      <c r="K129" s="11">
        <f>SUM(K121:K128)</f>
        <v>25776</v>
      </c>
    </row>
    <row r="130" spans="1:11" s="13" customFormat="1" ht="12.75" x14ac:dyDescent="0.2">
      <c r="A130" s="64" t="s">
        <v>123</v>
      </c>
      <c r="B130" s="63"/>
      <c r="C130" s="35">
        <f>C118+C129+1</f>
        <v>235788</v>
      </c>
      <c r="D130" s="35">
        <f t="shared" ref="D130:J130" si="13">D118+D129</f>
        <v>100239</v>
      </c>
      <c r="E130" s="35">
        <f t="shared" si="13"/>
        <v>877452</v>
      </c>
      <c r="F130" s="35">
        <f t="shared" si="13"/>
        <v>698886</v>
      </c>
      <c r="G130" s="35">
        <f t="shared" si="13"/>
        <v>231873</v>
      </c>
      <c r="H130" s="35">
        <f t="shared" si="13"/>
        <v>16354</v>
      </c>
      <c r="I130" s="35">
        <f t="shared" si="13"/>
        <v>147218</v>
      </c>
      <c r="J130" s="35">
        <f t="shared" si="13"/>
        <v>159643</v>
      </c>
      <c r="K130" s="35">
        <f>K129+K118</f>
        <v>2352207</v>
      </c>
    </row>
  </sheetData>
  <pageMargins left="0.7" right="0.7" top="0.75" bottom="0.75" header="0.3" footer="0.3"/>
  <pageSetup paperSize="9" orientation="landscape" horizontalDpi="4294967293" verticalDpi="0" r:id="rId1"/>
  <headerFooter>
    <oddHeader xml:space="preserve">&amp;C&amp;"-,Fet"&amp;14TOTALREGNSKAP ROMSÅS IL 2015
</oddHeader>
    <oddFooter>&amp;LEtter eleminering
s.smeby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Regnskap 2015, budsjett  2016</vt:lpstr>
      <vt:lpstr>Vedlegg budsjett etter el 2016</vt:lpstr>
      <vt:lpstr>Vedlegg regnskap etter el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S</dc:creator>
  <cp:lastModifiedBy>S S</cp:lastModifiedBy>
  <cp:lastPrinted>2016-03-05T20:46:22Z</cp:lastPrinted>
  <dcterms:created xsi:type="dcterms:W3CDTF">2016-02-29T23:33:42Z</dcterms:created>
  <dcterms:modified xsi:type="dcterms:W3CDTF">2016-03-05T20:48:40Z</dcterms:modified>
</cp:coreProperties>
</file>